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36675" windowHeight="12525"/>
  </bookViews>
  <sheets>
    <sheet name="工作表1" sheetId="1" r:id="rId1"/>
    <sheet name="bundle" sheetId="4" r:id="rId2"/>
  </sheets>
  <definedNames>
    <definedName name="_xlnm._FilterDatabase" localSheetId="0" hidden="1">工作表1!$A$1:$AJ$452</definedName>
    <definedName name="attributeMapFeedProductType">#REF!</definedName>
    <definedName name="optionalAttributePTDMap">#REF!</definedName>
    <definedName name="preferredAttributePTDMap">#REF!</definedName>
    <definedName name="requiredAttributePTDMap">#REF!</definedName>
  </definedNames>
  <calcPr calcId="145621"/>
</workbook>
</file>

<file path=xl/calcChain.xml><?xml version="1.0" encoding="utf-8"?>
<calcChain xmlns="http://schemas.openxmlformats.org/spreadsheetml/2006/main">
  <c r="AJ450" i="1" l="1"/>
  <c r="AJ448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29" i="1"/>
  <c r="AJ423" i="1"/>
  <c r="AJ421" i="1"/>
  <c r="AJ419" i="1"/>
  <c r="AJ415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77" i="1"/>
  <c r="AJ378" i="1"/>
  <c r="AJ379" i="1"/>
  <c r="AJ380" i="1"/>
  <c r="AJ376" i="1"/>
  <c r="AJ375" i="1"/>
  <c r="AJ374" i="1"/>
  <c r="AJ373" i="1"/>
  <c r="AJ372" i="1"/>
  <c r="AJ356" i="1"/>
  <c r="AJ355" i="1"/>
  <c r="AJ354" i="1"/>
  <c r="AJ351" i="1"/>
  <c r="AJ344" i="1"/>
  <c r="AJ338" i="1"/>
  <c r="AJ337" i="1"/>
  <c r="AJ330" i="1"/>
  <c r="AJ320" i="1"/>
  <c r="AJ319" i="1"/>
  <c r="AJ318" i="1"/>
  <c r="AJ317" i="1"/>
  <c r="AJ316" i="1"/>
  <c r="AJ315" i="1"/>
  <c r="AJ314" i="1"/>
  <c r="AJ313" i="1"/>
  <c r="AJ312" i="1"/>
  <c r="AJ311" i="1"/>
  <c r="AJ310" i="1"/>
  <c r="AJ307" i="1"/>
  <c r="AJ306" i="1"/>
  <c r="AJ305" i="1"/>
  <c r="AJ303" i="1"/>
  <c r="AJ302" i="1"/>
  <c r="AJ301" i="1"/>
  <c r="AJ299" i="1"/>
  <c r="AJ298" i="1"/>
  <c r="AJ294" i="1"/>
  <c r="AJ293" i="1"/>
  <c r="AJ292" i="1"/>
  <c r="AJ291" i="1"/>
  <c r="AJ290" i="1"/>
  <c r="AJ289" i="1"/>
  <c r="AJ288" i="1"/>
  <c r="AJ286" i="1"/>
  <c r="AJ285" i="1"/>
  <c r="AJ284" i="1"/>
  <c r="AJ276" i="1"/>
  <c r="AJ275" i="1"/>
  <c r="AJ274" i="1"/>
  <c r="AJ264" i="1"/>
  <c r="AJ263" i="1"/>
  <c r="AJ260" i="1"/>
  <c r="AJ246" i="1"/>
  <c r="AJ245" i="1"/>
  <c r="AJ244" i="1"/>
  <c r="AJ243" i="1"/>
  <c r="AJ241" i="1"/>
  <c r="AJ240" i="1"/>
  <c r="AJ239" i="1"/>
  <c r="AJ238" i="1"/>
  <c r="AJ237" i="1"/>
  <c r="AJ236" i="1"/>
  <c r="AJ234" i="1"/>
  <c r="AJ232" i="1"/>
  <c r="AJ231" i="1"/>
  <c r="AJ229" i="1"/>
  <c r="AJ228" i="1"/>
  <c r="AJ226" i="1"/>
  <c r="AJ224" i="1"/>
  <c r="AJ223" i="1"/>
  <c r="AJ219" i="1"/>
  <c r="AJ218" i="1"/>
  <c r="AJ217" i="1"/>
  <c r="AJ216" i="1"/>
  <c r="AJ215" i="1"/>
  <c r="AJ214" i="1"/>
  <c r="AJ213" i="1"/>
  <c r="AJ211" i="1"/>
  <c r="AJ210" i="1"/>
  <c r="AJ209" i="1"/>
  <c r="AJ208" i="1"/>
  <c r="AJ207" i="1"/>
  <c r="AJ206" i="1"/>
  <c r="AJ204" i="1"/>
  <c r="AJ203" i="1"/>
  <c r="AJ201" i="1"/>
  <c r="AJ196" i="1"/>
  <c r="AJ195" i="1"/>
  <c r="AJ193" i="1"/>
  <c r="AJ189" i="1"/>
  <c r="AJ188" i="1"/>
  <c r="AJ186" i="1"/>
  <c r="AJ184" i="1"/>
  <c r="AJ179" i="1"/>
  <c r="AJ177" i="1"/>
  <c r="AJ175" i="1"/>
  <c r="AJ174" i="1"/>
  <c r="AJ172" i="1"/>
  <c r="AJ170" i="1"/>
  <c r="AJ169" i="1"/>
  <c r="AJ166" i="1"/>
  <c r="AJ165" i="1"/>
  <c r="AJ164" i="1"/>
  <c r="AJ163" i="1"/>
  <c r="AJ162" i="1"/>
  <c r="AJ161" i="1"/>
  <c r="AJ159" i="1"/>
  <c r="AJ156" i="1"/>
  <c r="AJ154" i="1"/>
  <c r="AJ152" i="1"/>
  <c r="AJ149" i="1"/>
  <c r="AJ145" i="1"/>
  <c r="AJ144" i="1"/>
  <c r="AJ143" i="1"/>
  <c r="AJ142" i="1"/>
  <c r="AJ141" i="1"/>
  <c r="AJ138" i="1"/>
  <c r="AJ133" i="1"/>
  <c r="AJ128" i="1"/>
  <c r="AJ124" i="1"/>
  <c r="AJ117" i="1"/>
  <c r="AJ116" i="1"/>
  <c r="AJ115" i="1"/>
  <c r="AJ114" i="1"/>
  <c r="AJ112" i="1"/>
  <c r="AJ109" i="1"/>
  <c r="AJ108" i="1"/>
  <c r="AJ105" i="1"/>
  <c r="AJ103" i="1"/>
  <c r="AJ101" i="1"/>
  <c r="AJ100" i="1"/>
  <c r="AJ99" i="1"/>
  <c r="AJ98" i="1"/>
  <c r="AJ96" i="1"/>
  <c r="AJ95" i="1"/>
  <c r="AJ93" i="1"/>
  <c r="AJ92" i="1"/>
  <c r="AJ91" i="1"/>
  <c r="AJ90" i="1"/>
  <c r="AJ81" i="1"/>
  <c r="AJ79" i="1"/>
  <c r="AJ78" i="1"/>
  <c r="AJ77" i="1"/>
  <c r="AJ75" i="1"/>
  <c r="AJ74" i="1"/>
  <c r="AJ69" i="1"/>
  <c r="AJ68" i="1"/>
  <c r="AJ65" i="1"/>
  <c r="AJ63" i="1"/>
  <c r="AJ61" i="1"/>
  <c r="AJ59" i="1"/>
  <c r="AJ54" i="1"/>
  <c r="AJ53" i="1"/>
  <c r="AJ52" i="1"/>
  <c r="AJ48" i="1"/>
  <c r="AJ41" i="1"/>
  <c r="AJ40" i="1"/>
  <c r="AJ39" i="1"/>
  <c r="AJ37" i="1"/>
  <c r="AJ34" i="1"/>
  <c r="AJ31" i="1"/>
  <c r="AJ28" i="1"/>
  <c r="AJ22" i="1"/>
  <c r="AJ21" i="1"/>
  <c r="AJ17" i="1"/>
  <c r="AJ16" i="1"/>
  <c r="AJ15" i="1"/>
  <c r="AJ13" i="1"/>
  <c r="AJ12" i="1"/>
  <c r="AJ11" i="1"/>
  <c r="AJ10" i="1"/>
  <c r="AJ9" i="1"/>
  <c r="AJ8" i="1"/>
  <c r="AJ7" i="1"/>
  <c r="AJ5" i="1"/>
  <c r="AJ453" i="1" l="1"/>
  <c r="AI450" i="1" l="1"/>
  <c r="AI448" i="1"/>
  <c r="AI446" i="1"/>
  <c r="AI445" i="1"/>
  <c r="AI443" i="1"/>
  <c r="AI437" i="1"/>
  <c r="AI435" i="1"/>
  <c r="AI434" i="1"/>
  <c r="AI423" i="1"/>
  <c r="AI421" i="1"/>
  <c r="AI417" i="1"/>
  <c r="AI400" i="1"/>
  <c r="AI355" i="1"/>
  <c r="AI354" i="1"/>
  <c r="AI344" i="1"/>
  <c r="AI338" i="1"/>
  <c r="AI337" i="1"/>
  <c r="AI336" i="1"/>
  <c r="AI335" i="1"/>
  <c r="AI321" i="1"/>
  <c r="AI320" i="1"/>
  <c r="AI319" i="1"/>
  <c r="AI318" i="1"/>
  <c r="AI316" i="1"/>
  <c r="AI314" i="1"/>
  <c r="AI312" i="1"/>
  <c r="AI311" i="1"/>
  <c r="AI310" i="1"/>
  <c r="AI298" i="1"/>
  <c r="AI294" i="1"/>
  <c r="AI293" i="1"/>
  <c r="AI292" i="1"/>
  <c r="AI291" i="1"/>
  <c r="AI290" i="1"/>
  <c r="AI289" i="1"/>
  <c r="AI288" i="1"/>
  <c r="AI286" i="1"/>
  <c r="AI285" i="1"/>
  <c r="AI284" i="1"/>
  <c r="AI274" i="1"/>
  <c r="AI264" i="1"/>
  <c r="AI262" i="1"/>
  <c r="AI260" i="1"/>
  <c r="AI243" i="1"/>
  <c r="AI241" i="1"/>
  <c r="AI239" i="1"/>
  <c r="AI238" i="1"/>
  <c r="AI233" i="1"/>
  <c r="AI229" i="1"/>
  <c r="AI226" i="1"/>
  <c r="AI224" i="1"/>
  <c r="AI222" i="1"/>
  <c r="AI221" i="1"/>
  <c r="AI219" i="1"/>
  <c r="AI218" i="1"/>
  <c r="AI217" i="1"/>
  <c r="AI216" i="1"/>
  <c r="AI215" i="1"/>
  <c r="AI214" i="1"/>
  <c r="AI213" i="1"/>
  <c r="AI211" i="1"/>
  <c r="AI207" i="1"/>
  <c r="AI204" i="1"/>
  <c r="AI203" i="1"/>
  <c r="AI201" i="1"/>
  <c r="AI196" i="1"/>
  <c r="AI193" i="1"/>
  <c r="AI189" i="1"/>
  <c r="AI188" i="1"/>
  <c r="AI184" i="1"/>
  <c r="AI179" i="1"/>
  <c r="AI177" i="1"/>
  <c r="AI175" i="1"/>
  <c r="AI172" i="1"/>
  <c r="AI169" i="1"/>
  <c r="AI166" i="1"/>
  <c r="AI163" i="1"/>
  <c r="AI162" i="1"/>
  <c r="AI161" i="1"/>
  <c r="AI159" i="1"/>
  <c r="AI154" i="1"/>
  <c r="AI145" i="1"/>
  <c r="AI144" i="1"/>
  <c r="AI142" i="1"/>
  <c r="AI141" i="1"/>
  <c r="AI138" i="1"/>
  <c r="AI133" i="1"/>
  <c r="AI128" i="1"/>
  <c r="AI124" i="1"/>
  <c r="AI117" i="1"/>
  <c r="AI116" i="1"/>
  <c r="AI115" i="1"/>
  <c r="AI109" i="1"/>
  <c r="AI108" i="1"/>
  <c r="AI105" i="1"/>
  <c r="AI100" i="1"/>
  <c r="AI99" i="1"/>
  <c r="AI98" i="1"/>
  <c r="AI86" i="1"/>
  <c r="AI81" i="1"/>
  <c r="AI79" i="1"/>
  <c r="AI78" i="1"/>
  <c r="AI77" i="1"/>
  <c r="AI69" i="1"/>
  <c r="AI68" i="1"/>
  <c r="AI63" i="1"/>
  <c r="AI61" i="1"/>
  <c r="AI59" i="1"/>
  <c r="AI54" i="1"/>
  <c r="AI52" i="1"/>
  <c r="AI51" i="1"/>
  <c r="AI44" i="1"/>
  <c r="AI41" i="1"/>
  <c r="AI40" i="1"/>
  <c r="AI39" i="1"/>
  <c r="AI37" i="1"/>
  <c r="AI34" i="1"/>
  <c r="AI31" i="1"/>
  <c r="AI28" i="1"/>
  <c r="AI22" i="1"/>
  <c r="AI17" i="1"/>
  <c r="AI16" i="1"/>
  <c r="AI10" i="1"/>
  <c r="AI12" i="1"/>
  <c r="AI7" i="1"/>
  <c r="AH4" i="1"/>
  <c r="AH7" i="1"/>
  <c r="AH10" i="1"/>
  <c r="AH12" i="1"/>
  <c r="AH16" i="1"/>
  <c r="AH17" i="1"/>
  <c r="AH18" i="1"/>
  <c r="AH22" i="1"/>
  <c r="AH28" i="1"/>
  <c r="AH31" i="1"/>
  <c r="AH34" i="1"/>
  <c r="AH37" i="1"/>
  <c r="AH40" i="1"/>
  <c r="AH41" i="1"/>
  <c r="AH43" i="1"/>
  <c r="AH44" i="1"/>
  <c r="AH47" i="1"/>
  <c r="AH52" i="1"/>
  <c r="AH54" i="1"/>
  <c r="AH59" i="1"/>
  <c r="AH61" i="1"/>
  <c r="AH63" i="1"/>
  <c r="AH65" i="1"/>
  <c r="AH68" i="1"/>
  <c r="AH70" i="1"/>
  <c r="AH72" i="1"/>
  <c r="AH77" i="1"/>
  <c r="AH78" i="1"/>
  <c r="AH79" i="1"/>
  <c r="AH81" i="1"/>
  <c r="AH85" i="1"/>
  <c r="AH86" i="1"/>
  <c r="AH91" i="1"/>
  <c r="AH93" i="1"/>
  <c r="AH94" i="1"/>
  <c r="AH98" i="1"/>
  <c r="AH99" i="1"/>
  <c r="AH100" i="1"/>
  <c r="AH105" i="1"/>
  <c r="AH108" i="1"/>
  <c r="AH109" i="1"/>
  <c r="AH111" i="1"/>
  <c r="AH115" i="1"/>
  <c r="AH116" i="1"/>
  <c r="AH117" i="1"/>
  <c r="AH124" i="1"/>
  <c r="AH128" i="1"/>
  <c r="AH133" i="1"/>
  <c r="AH135" i="1"/>
  <c r="AH138" i="1"/>
  <c r="AH141" i="1"/>
  <c r="AH142" i="1"/>
  <c r="AH144" i="1"/>
  <c r="AH145" i="1"/>
  <c r="AH152" i="1"/>
  <c r="AH159" i="1"/>
  <c r="AH162" i="1"/>
  <c r="AH166" i="1"/>
  <c r="AH169" i="1"/>
  <c r="AH172" i="1"/>
  <c r="AH173" i="1"/>
  <c r="AH174" i="1"/>
  <c r="AH177" i="1"/>
  <c r="AH179" i="1"/>
  <c r="AH184" i="1"/>
  <c r="AH188" i="1"/>
  <c r="AH189" i="1"/>
  <c r="AH191" i="1"/>
  <c r="AH192" i="1"/>
  <c r="AH193" i="1"/>
  <c r="AH194" i="1"/>
  <c r="AH196" i="1"/>
  <c r="AH201" i="1"/>
  <c r="AH203" i="1"/>
  <c r="AH204" i="1"/>
  <c r="AH207" i="1"/>
  <c r="AH211" i="1"/>
  <c r="AH214" i="1"/>
  <c r="AH215" i="1"/>
  <c r="AH216" i="1"/>
  <c r="AH217" i="1"/>
  <c r="AH218" i="1"/>
  <c r="AH219" i="1"/>
  <c r="AH221" i="1"/>
  <c r="AH224" i="1"/>
  <c r="AH225" i="1"/>
  <c r="AH226" i="1"/>
  <c r="AH229" i="1"/>
  <c r="AH230" i="1"/>
  <c r="AH233" i="1"/>
  <c r="AH238" i="1"/>
  <c r="AH239" i="1"/>
  <c r="AH241" i="1"/>
  <c r="AH242" i="1"/>
  <c r="AH243" i="1"/>
  <c r="AH260" i="1"/>
  <c r="AH262" i="1"/>
  <c r="AH264" i="1"/>
  <c r="AH274" i="1"/>
  <c r="AH277" i="1"/>
  <c r="AH285" i="1"/>
  <c r="AH286" i="1"/>
  <c r="AH288" i="1"/>
  <c r="AH289" i="1"/>
  <c r="AH290" i="1"/>
  <c r="AH291" i="1"/>
  <c r="AH292" i="1"/>
  <c r="AH293" i="1"/>
  <c r="AH294" i="1"/>
  <c r="AH298" i="1"/>
  <c r="AH310" i="1"/>
  <c r="AH311" i="1"/>
  <c r="AH312" i="1"/>
  <c r="AH313" i="1"/>
  <c r="AH315" i="1"/>
  <c r="AH316" i="1"/>
  <c r="AH317" i="1"/>
  <c r="AH318" i="1"/>
  <c r="AH319" i="1"/>
  <c r="AH320" i="1"/>
  <c r="AH321" i="1"/>
  <c r="AH322" i="1"/>
  <c r="AH331" i="1"/>
  <c r="AH336" i="1"/>
  <c r="AH337" i="1"/>
  <c r="AH338" i="1"/>
  <c r="AH343" i="1"/>
  <c r="AH344" i="1"/>
  <c r="AH345" i="1"/>
  <c r="AH354" i="1"/>
  <c r="AH355" i="1"/>
  <c r="AH356" i="1"/>
  <c r="AH400" i="1"/>
  <c r="AH417" i="1"/>
  <c r="AH421" i="1"/>
  <c r="AH422" i="1"/>
  <c r="AH434" i="1"/>
  <c r="AH435" i="1"/>
  <c r="AH436" i="1"/>
  <c r="AH437" i="1"/>
  <c r="AH441" i="1"/>
  <c r="AH443" i="1"/>
  <c r="AH444" i="1"/>
  <c r="AH445" i="1"/>
  <c r="AH446" i="1"/>
  <c r="AH448" i="1"/>
  <c r="AH450" i="1"/>
  <c r="AG99" i="1"/>
  <c r="AG7" i="1"/>
  <c r="AG10" i="1"/>
  <c r="AG12" i="1"/>
  <c r="AG16" i="1"/>
  <c r="AG17" i="1"/>
  <c r="AG22" i="1"/>
  <c r="AG28" i="1"/>
  <c r="AG31" i="1"/>
  <c r="AG37" i="1"/>
  <c r="AG39" i="1"/>
  <c r="AG40" i="1"/>
  <c r="AG41" i="1"/>
  <c r="AG43" i="1"/>
  <c r="AG44" i="1"/>
  <c r="AG47" i="1"/>
  <c r="AG52" i="1"/>
  <c r="AG54" i="1"/>
  <c r="AG59" i="1"/>
  <c r="AG61" i="1"/>
  <c r="AG63" i="1"/>
  <c r="AG65" i="1"/>
  <c r="AG68" i="1"/>
  <c r="AG69" i="1"/>
  <c r="AG72" i="1"/>
  <c r="AG73" i="1"/>
  <c r="AG77" i="1"/>
  <c r="AG78" i="1"/>
  <c r="AG79" i="1"/>
  <c r="AG81" i="1"/>
  <c r="AG85" i="1"/>
  <c r="AG86" i="1"/>
  <c r="AG93" i="1"/>
  <c r="AG98" i="1"/>
  <c r="AG100" i="1"/>
  <c r="AG103" i="1"/>
  <c r="AG105" i="1"/>
  <c r="AG108" i="1"/>
  <c r="AG109" i="1"/>
  <c r="AG115" i="1"/>
  <c r="AG116" i="1"/>
  <c r="AG124" i="1"/>
  <c r="AG128" i="1"/>
  <c r="AG133" i="1"/>
  <c r="AG138" i="1"/>
  <c r="AG141" i="1"/>
  <c r="AG142" i="1"/>
  <c r="AG144" i="1"/>
  <c r="AG145" i="1"/>
  <c r="AG152" i="1"/>
  <c r="AG159" i="1"/>
  <c r="AG160" i="1"/>
  <c r="AG163" i="1"/>
  <c r="AG166" i="1"/>
  <c r="AG169" i="1"/>
  <c r="AG173" i="1"/>
  <c r="AG174" i="1"/>
  <c r="AG177" i="1"/>
  <c r="AG179" i="1"/>
  <c r="AG184" i="1"/>
  <c r="AG188" i="1"/>
  <c r="AG192" i="1"/>
  <c r="AG193" i="1"/>
  <c r="AG195" i="1"/>
  <c r="AG196" i="1"/>
  <c r="AG200" i="1"/>
  <c r="AG203" i="1"/>
  <c r="AG211" i="1"/>
  <c r="AG213" i="1"/>
  <c r="AG214" i="1"/>
  <c r="AG215" i="1"/>
  <c r="AG216" i="1"/>
  <c r="AG218" i="1"/>
  <c r="AG219" i="1"/>
  <c r="AG221" i="1"/>
  <c r="AG222" i="1"/>
  <c r="AG226" i="1"/>
  <c r="AG229" i="1"/>
  <c r="AG230" i="1"/>
  <c r="AG233" i="1"/>
  <c r="AG241" i="1"/>
  <c r="AG242" i="1"/>
  <c r="AG243" i="1"/>
  <c r="AG260" i="1"/>
  <c r="AG261" i="1"/>
  <c r="AG264" i="1"/>
  <c r="AG275" i="1"/>
  <c r="AG277" i="1"/>
  <c r="AG284" i="1"/>
  <c r="AG285" i="1"/>
  <c r="AG286" i="1"/>
  <c r="AG288" i="1"/>
  <c r="AG289" i="1"/>
  <c r="AG290" i="1"/>
  <c r="AG291" i="1"/>
  <c r="AG292" i="1"/>
  <c r="AG293" i="1"/>
  <c r="AG294" i="1"/>
  <c r="AG298" i="1"/>
  <c r="AG310" i="1"/>
  <c r="AG311" i="1"/>
  <c r="AG312" i="1"/>
  <c r="AG313" i="1"/>
  <c r="AG314" i="1"/>
  <c r="AG315" i="1"/>
  <c r="AG317" i="1"/>
  <c r="AG318" i="1"/>
  <c r="AG319" i="1"/>
  <c r="AG320" i="1"/>
  <c r="AG321" i="1"/>
  <c r="AG322" i="1"/>
  <c r="AG332" i="1"/>
  <c r="AG335" i="1"/>
  <c r="AG336" i="1"/>
  <c r="AG337" i="1"/>
  <c r="AG338" i="1"/>
  <c r="AG343" i="1"/>
  <c r="AG344" i="1"/>
  <c r="AG345" i="1"/>
  <c r="AG354" i="1"/>
  <c r="AG355" i="1"/>
  <c r="AG356" i="1"/>
  <c r="AG394" i="1"/>
  <c r="AG400" i="1"/>
  <c r="AG421" i="1"/>
  <c r="AG422" i="1"/>
  <c r="AG435" i="1"/>
  <c r="AG437" i="1"/>
  <c r="AG438" i="1"/>
  <c r="AG439" i="1"/>
  <c r="AG440" i="1"/>
  <c r="AG441" i="1"/>
  <c r="AG444" i="1"/>
  <c r="AG445" i="1"/>
  <c r="AG446" i="1"/>
  <c r="AG448" i="1"/>
  <c r="AG449" i="1"/>
  <c r="AG450" i="1"/>
  <c r="AF450" i="1"/>
  <c r="AF449" i="1"/>
  <c r="AF448" i="1"/>
  <c r="AF446" i="1"/>
  <c r="AF445" i="1"/>
  <c r="AF444" i="1"/>
  <c r="AF437" i="1"/>
  <c r="AF422" i="1"/>
  <c r="AF417" i="1"/>
  <c r="AF356" i="1"/>
  <c r="AF355" i="1"/>
  <c r="AF354" i="1"/>
  <c r="AF345" i="1"/>
  <c r="AF343" i="1"/>
  <c r="AF341" i="1"/>
  <c r="AF337" i="1"/>
  <c r="AF335" i="1"/>
  <c r="AF322" i="1"/>
  <c r="AF320" i="1"/>
  <c r="AF318" i="1"/>
  <c r="AF317" i="1"/>
  <c r="AF315" i="1"/>
  <c r="AF314" i="1"/>
  <c r="AF313" i="1"/>
  <c r="AF312" i="1"/>
  <c r="AF311" i="1"/>
  <c r="AF310" i="1"/>
  <c r="AF298" i="1"/>
  <c r="AF294" i="1"/>
  <c r="AF293" i="1"/>
  <c r="AF292" i="1"/>
  <c r="AF291" i="1"/>
  <c r="AF290" i="1"/>
  <c r="AF289" i="1"/>
  <c r="AF288" i="1"/>
  <c r="AF286" i="1"/>
  <c r="AF285" i="1"/>
  <c r="AF277" i="1"/>
  <c r="AF275" i="1"/>
  <c r="AF274" i="1"/>
  <c r="AF264" i="1"/>
  <c r="AF243" i="1"/>
  <c r="AF242" i="1"/>
  <c r="AF233" i="1"/>
  <c r="AF232" i="1"/>
  <c r="AF230" i="1"/>
  <c r="AF226" i="1"/>
  <c r="AF222" i="1"/>
  <c r="AF221" i="1"/>
  <c r="AF220" i="1"/>
  <c r="AF219" i="1"/>
  <c r="AF218" i="1"/>
  <c r="AF216" i="1"/>
  <c r="AF214" i="1"/>
  <c r="AF212" i="1"/>
  <c r="AF211" i="1"/>
  <c r="AF209" i="1"/>
  <c r="AF207" i="1"/>
  <c r="AF203" i="1"/>
  <c r="AF202" i="1"/>
  <c r="AF201" i="1"/>
  <c r="AF200" i="1"/>
  <c r="AF199" i="1"/>
  <c r="AF194" i="1"/>
  <c r="AF193" i="1"/>
  <c r="AF192" i="1"/>
  <c r="AF189" i="1"/>
  <c r="AF184" i="1"/>
  <c r="AF179" i="1"/>
  <c r="AF177" i="1"/>
  <c r="AF175" i="1"/>
  <c r="AF174" i="1"/>
  <c r="AF173" i="1"/>
  <c r="AF172" i="1"/>
  <c r="AF169" i="1"/>
  <c r="AF166" i="1"/>
  <c r="AF162" i="1"/>
  <c r="AF160" i="1"/>
  <c r="AF159" i="1"/>
  <c r="AF154" i="1"/>
  <c r="AF152" i="1"/>
  <c r="AF149" i="1"/>
  <c r="AF145" i="1"/>
  <c r="AF144" i="1"/>
  <c r="AF141" i="1"/>
  <c r="AF138" i="1"/>
  <c r="AF136" i="1"/>
  <c r="AF128" i="1"/>
  <c r="AF127" i="1"/>
  <c r="AF124" i="1"/>
  <c r="AF117" i="1"/>
  <c r="AF116" i="1"/>
  <c r="AF115" i="1"/>
  <c r="AF109" i="1"/>
  <c r="AF108" i="1"/>
  <c r="AF105" i="1"/>
  <c r="AF103" i="1"/>
  <c r="AF102" i="1"/>
  <c r="AF100" i="1"/>
  <c r="AF99" i="1"/>
  <c r="AF93" i="1"/>
  <c r="AF86" i="1"/>
  <c r="AF85" i="1"/>
  <c r="AF81" i="1"/>
  <c r="AF79" i="1"/>
  <c r="AF78" i="1"/>
  <c r="AF75" i="1"/>
  <c r="AF72" i="1"/>
  <c r="AF68" i="1"/>
  <c r="AF65" i="1"/>
  <c r="AF64" i="1"/>
  <c r="AF54" i="1"/>
  <c r="AF47" i="1"/>
  <c r="AF44" i="1"/>
  <c r="AF43" i="1"/>
  <c r="AF41" i="1"/>
  <c r="AF40" i="1"/>
  <c r="AF39" i="1"/>
  <c r="AF37" i="1"/>
  <c r="AF34" i="1"/>
  <c r="AF31" i="1"/>
  <c r="AF28" i="1"/>
  <c r="AF22" i="1"/>
  <c r="AF18" i="1"/>
  <c r="AF17" i="1"/>
  <c r="AF16" i="1"/>
  <c r="AF12" i="1"/>
  <c r="AF10" i="1"/>
  <c r="AE450" i="1"/>
  <c r="AE449" i="1"/>
  <c r="AE448" i="1"/>
  <c r="AE446" i="1"/>
  <c r="AE445" i="1"/>
  <c r="AE444" i="1"/>
  <c r="AE443" i="1"/>
  <c r="AE441" i="1"/>
  <c r="AE440" i="1"/>
  <c r="AE439" i="1"/>
  <c r="AE438" i="1"/>
  <c r="AE437" i="1"/>
  <c r="AE423" i="1"/>
  <c r="AE422" i="1"/>
  <c r="AE417" i="1"/>
  <c r="AE416" i="1"/>
  <c r="AE369" i="1"/>
  <c r="AE365" i="1"/>
  <c r="AE356" i="1"/>
  <c r="AE355" i="1"/>
  <c r="AE354" i="1"/>
  <c r="AE352" i="1"/>
  <c r="AE345" i="1"/>
  <c r="AE343" i="1"/>
  <c r="AE341" i="1"/>
  <c r="AE337" i="1"/>
  <c r="AE336" i="1"/>
  <c r="AE335" i="1"/>
  <c r="AE330" i="1"/>
  <c r="AE329" i="1"/>
  <c r="AE322" i="1"/>
  <c r="AE321" i="1"/>
  <c r="AE320" i="1"/>
  <c r="AE318" i="1"/>
  <c r="AE316" i="1"/>
  <c r="AE315" i="1"/>
  <c r="AE314" i="1"/>
  <c r="AE313" i="1"/>
  <c r="AE312" i="1"/>
  <c r="AE311" i="1"/>
  <c r="AE310" i="1"/>
  <c r="AE298" i="1"/>
  <c r="AE293" i="1"/>
  <c r="AE292" i="1"/>
  <c r="AE291" i="1"/>
  <c r="AE290" i="1"/>
  <c r="AE289" i="1"/>
  <c r="AE288" i="1"/>
  <c r="AE286" i="1"/>
  <c r="AE285" i="1"/>
  <c r="AE284" i="1"/>
  <c r="AE277" i="1"/>
  <c r="AE264" i="1"/>
  <c r="AE243" i="1"/>
  <c r="AE242" i="1"/>
  <c r="AE241" i="1"/>
  <c r="AE237" i="1"/>
  <c r="AE235" i="1"/>
  <c r="AE233" i="1"/>
  <c r="AE232" i="1"/>
  <c r="AE230" i="1"/>
  <c r="AE226" i="1"/>
  <c r="AE221" i="1"/>
  <c r="AE220" i="1"/>
  <c r="AE219" i="1"/>
  <c r="AE218" i="1"/>
  <c r="AE216" i="1"/>
  <c r="AE214" i="1"/>
  <c r="AE213" i="1"/>
  <c r="AE212" i="1"/>
  <c r="AE211" i="1"/>
  <c r="AE210" i="1"/>
  <c r="AE207" i="1"/>
  <c r="AE204" i="1"/>
  <c r="AE203" i="1"/>
  <c r="AE201" i="1"/>
  <c r="AE200" i="1"/>
  <c r="AE199" i="1"/>
  <c r="AE196" i="1"/>
  <c r="AE195" i="1"/>
  <c r="AE193" i="1"/>
  <c r="AE192" i="1"/>
  <c r="AE189" i="1"/>
  <c r="AE188" i="1"/>
  <c r="AE184" i="1"/>
  <c r="AE179" i="1"/>
  <c r="AE177" i="1"/>
  <c r="AE175" i="1"/>
  <c r="AE174" i="1"/>
  <c r="AE173" i="1"/>
  <c r="AE169" i="1"/>
  <c r="AE166" i="1"/>
  <c r="AE164" i="1"/>
  <c r="AE163" i="1"/>
  <c r="AE162" i="1"/>
  <c r="AE161" i="1"/>
  <c r="AE160" i="1"/>
  <c r="AE159" i="1"/>
  <c r="AE152" i="1"/>
  <c r="AE149" i="1"/>
  <c r="AE145" i="1"/>
  <c r="AE144" i="1"/>
  <c r="AE138" i="1"/>
  <c r="AE133" i="1"/>
  <c r="AE131" i="1"/>
  <c r="AE130" i="1"/>
  <c r="AE127" i="1"/>
  <c r="AE124" i="1"/>
  <c r="AE123" i="1"/>
  <c r="AE121" i="1"/>
  <c r="AE117" i="1"/>
  <c r="AE116" i="1"/>
  <c r="AE109" i="1"/>
  <c r="AE108" i="1"/>
  <c r="AE106" i="1"/>
  <c r="AE105" i="1"/>
  <c r="AE103" i="1"/>
  <c r="AE102" i="1"/>
  <c r="AE100" i="1"/>
  <c r="AE99" i="1"/>
  <c r="AE98" i="1"/>
  <c r="AE93" i="1"/>
  <c r="AE86" i="1"/>
  <c r="AE85" i="1"/>
  <c r="AE81" i="1"/>
  <c r="AE79" i="1"/>
  <c r="AE78" i="1"/>
  <c r="AE77" i="1"/>
  <c r="AE69" i="1"/>
  <c r="AE68" i="1"/>
  <c r="AE65" i="1"/>
  <c r="AE61" i="1"/>
  <c r="AE58" i="1"/>
  <c r="AE54" i="1"/>
  <c r="AE51" i="1"/>
  <c r="AE48" i="1"/>
  <c r="AE47" i="1"/>
  <c r="AE44" i="1"/>
  <c r="AE43" i="1"/>
  <c r="AE41" i="1"/>
  <c r="AE40" i="1"/>
  <c r="AE39" i="1"/>
  <c r="AE37" i="1"/>
  <c r="AE31" i="1"/>
  <c r="AE28" i="1"/>
  <c r="AE22" i="1"/>
  <c r="AE20" i="1"/>
  <c r="AE18" i="1"/>
  <c r="AE17" i="1"/>
  <c r="AE16" i="1"/>
  <c r="AE13" i="1"/>
  <c r="AE12" i="1"/>
  <c r="AE10" i="1"/>
  <c r="AE7" i="1"/>
  <c r="AE4" i="1"/>
  <c r="AD7" i="1"/>
  <c r="AD444" i="1"/>
  <c r="AD443" i="1"/>
  <c r="AD417" i="1"/>
  <c r="AD416" i="1"/>
  <c r="AD336" i="1"/>
  <c r="AD337" i="1"/>
  <c r="AD316" i="1"/>
  <c r="AD315" i="1"/>
  <c r="AD313" i="1"/>
  <c r="AD311" i="1"/>
  <c r="AD310" i="1"/>
  <c r="AD298" i="1"/>
  <c r="AD288" i="1"/>
  <c r="AD286" i="1"/>
  <c r="AD284" i="1"/>
  <c r="AD233" i="1"/>
  <c r="AD232" i="1"/>
  <c r="AD230" i="1"/>
  <c r="AD221" i="1"/>
  <c r="AD217" i="1"/>
  <c r="AD216" i="1"/>
  <c r="AD213" i="1"/>
  <c r="AD212" i="1"/>
  <c r="AD210" i="1"/>
  <c r="AD200" i="1"/>
  <c r="AD196" i="1"/>
  <c r="AD195" i="1"/>
  <c r="AD192" i="1"/>
  <c r="AD188" i="1"/>
  <c r="AD184" i="1"/>
  <c r="AD179" i="1"/>
  <c r="AD169" i="1"/>
  <c r="AD159" i="1"/>
  <c r="AD152" i="1"/>
  <c r="AD144" i="1"/>
  <c r="AD138" i="1"/>
  <c r="AD131" i="1"/>
  <c r="AD121" i="1"/>
  <c r="AD117" i="1"/>
  <c r="AD116" i="1"/>
  <c r="AD109" i="1"/>
  <c r="AD106" i="1"/>
  <c r="AD100" i="1"/>
  <c r="AD99" i="1"/>
  <c r="AD93" i="1"/>
  <c r="AD79" i="1"/>
  <c r="AD77" i="1"/>
  <c r="AD61" i="1"/>
  <c r="AD58" i="1"/>
  <c r="AD51" i="1"/>
  <c r="AD48" i="1"/>
  <c r="AD41" i="1"/>
  <c r="AD37" i="1"/>
  <c r="AD20" i="1"/>
  <c r="AD18" i="1"/>
  <c r="AD17" i="1"/>
  <c r="AD13" i="1"/>
  <c r="AD10" i="1"/>
  <c r="AD4" i="1"/>
  <c r="AD449" i="1"/>
  <c r="AD448" i="1"/>
  <c r="AD446" i="1"/>
  <c r="AD445" i="1"/>
  <c r="AD437" i="1"/>
  <c r="AD435" i="1"/>
  <c r="AD430" i="1"/>
  <c r="AD422" i="1"/>
  <c r="AD356" i="1"/>
  <c r="AD355" i="1"/>
  <c r="AD354" i="1"/>
  <c r="AD351" i="1"/>
  <c r="AD341" i="1"/>
  <c r="AD338" i="1"/>
  <c r="AD335" i="1"/>
  <c r="AD328" i="1"/>
  <c r="AD319" i="1"/>
  <c r="AD318" i="1"/>
  <c r="AD317" i="1"/>
  <c r="AD314" i="1"/>
  <c r="AD312" i="1"/>
  <c r="AD293" i="1"/>
  <c r="AD292" i="1"/>
  <c r="AD291" i="1"/>
  <c r="AD290" i="1"/>
  <c r="AD289" i="1"/>
  <c r="AD285" i="1"/>
  <c r="AD275" i="1"/>
  <c r="AD274" i="1"/>
  <c r="AD264" i="1"/>
  <c r="AD243" i="1"/>
  <c r="AD242" i="1"/>
  <c r="AD241" i="1"/>
  <c r="AD226" i="1"/>
  <c r="AD224" i="1"/>
  <c r="AD220" i="1"/>
  <c r="AD219" i="1"/>
  <c r="AD218" i="1"/>
  <c r="AD214" i="1"/>
  <c r="AD211" i="1"/>
  <c r="AD204" i="1"/>
  <c r="AD193" i="1"/>
  <c r="AD175" i="1"/>
  <c r="AD155" i="1"/>
  <c r="AD149" i="1"/>
  <c r="AD142" i="1"/>
  <c r="AD141" i="1"/>
  <c r="AD133" i="1"/>
  <c r="AD124" i="1"/>
  <c r="AD108" i="1"/>
  <c r="AD105" i="1"/>
  <c r="AD94" i="1"/>
  <c r="AD86" i="1"/>
  <c r="AD84" i="1"/>
  <c r="AD81" i="1"/>
  <c r="AD75" i="1"/>
  <c r="AD69" i="1"/>
  <c r="AD68" i="1"/>
  <c r="AD65" i="1"/>
  <c r="AD59" i="1"/>
  <c r="AD54" i="1"/>
  <c r="AD53" i="1"/>
  <c r="AD52" i="1"/>
  <c r="AD44" i="1"/>
  <c r="AD43" i="1"/>
  <c r="AD40" i="1"/>
  <c r="AD39" i="1"/>
  <c r="AD28" i="1"/>
  <c r="AD22" i="1"/>
  <c r="AC450" i="1"/>
  <c r="AC448" i="1"/>
  <c r="AC446" i="1"/>
  <c r="AC445" i="1"/>
  <c r="AC437" i="1"/>
  <c r="AC424" i="1"/>
  <c r="AC417" i="1"/>
  <c r="AC356" i="1"/>
  <c r="AC355" i="1"/>
  <c r="AC336" i="1"/>
  <c r="AC318" i="1"/>
  <c r="AC314" i="1"/>
  <c r="AC313" i="1"/>
  <c r="AC312" i="1"/>
  <c r="AC311" i="1"/>
  <c r="AC310" i="1"/>
  <c r="AC298" i="1"/>
  <c r="AC294" i="1"/>
  <c r="AC293" i="1"/>
  <c r="AC292" i="1"/>
  <c r="AC291" i="1"/>
  <c r="AC289" i="1"/>
  <c r="AC288" i="1"/>
  <c r="AC286" i="1"/>
  <c r="AC285" i="1"/>
  <c r="AC284" i="1"/>
  <c r="AC274" i="1"/>
  <c r="AC264" i="1"/>
  <c r="AC243" i="1"/>
  <c r="AC242" i="1"/>
  <c r="AC241" i="1"/>
  <c r="AC233" i="1"/>
  <c r="AC230" i="1"/>
  <c r="AC226" i="1"/>
  <c r="AC221" i="1"/>
  <c r="AC220" i="1"/>
  <c r="AC219" i="1"/>
  <c r="AC218" i="1"/>
  <c r="AC215" i="1"/>
  <c r="AC214" i="1"/>
  <c r="AC211" i="1"/>
  <c r="AC207" i="1"/>
  <c r="AC203" i="1"/>
  <c r="AC201" i="1"/>
  <c r="AC193" i="1"/>
  <c r="AC189" i="1"/>
  <c r="AC179" i="1"/>
  <c r="AC175" i="1"/>
  <c r="AC169" i="1"/>
  <c r="AC166" i="1"/>
  <c r="AC159" i="1"/>
  <c r="AC154" i="1"/>
  <c r="AC149" i="1"/>
  <c r="AC144" i="1"/>
  <c r="AC138" i="1"/>
  <c r="AC133" i="1"/>
  <c r="AC124" i="1"/>
  <c r="AC117" i="1"/>
  <c r="AC116" i="1"/>
  <c r="AC109" i="1"/>
  <c r="AC108" i="1"/>
  <c r="AC103" i="1"/>
  <c r="AC99" i="1"/>
  <c r="AC93" i="1"/>
  <c r="AC91" i="1"/>
  <c r="AC87" i="1"/>
  <c r="AC81" i="1"/>
  <c r="AC79" i="1"/>
  <c r="AC78" i="1"/>
  <c r="AC75" i="1"/>
  <c r="AC68" i="1"/>
  <c r="AC65" i="1"/>
  <c r="AC64" i="1"/>
  <c r="AC59" i="1"/>
  <c r="AC54" i="1"/>
  <c r="AC40" i="1"/>
  <c r="AC37" i="1"/>
  <c r="AC31" i="1"/>
  <c r="AC28" i="1"/>
  <c r="AC22" i="1"/>
  <c r="AC17" i="1"/>
  <c r="AC10" i="1"/>
  <c r="AB449" i="1"/>
  <c r="AB448" i="1"/>
  <c r="AB446" i="1"/>
  <c r="AB445" i="1"/>
  <c r="AB444" i="1"/>
  <c r="AB437" i="1"/>
  <c r="AB416" i="1"/>
  <c r="AB356" i="1"/>
  <c r="AB355" i="1"/>
  <c r="AB354" i="1"/>
  <c r="AB345" i="1"/>
  <c r="AB340" i="1"/>
  <c r="AB321" i="1"/>
  <c r="AB319" i="1"/>
  <c r="AB318" i="1"/>
  <c r="AB314" i="1"/>
  <c r="AB313" i="1"/>
  <c r="AB312" i="1"/>
  <c r="AB311" i="1"/>
  <c r="AB310" i="1"/>
  <c r="AB298" i="1"/>
  <c r="AB294" i="1"/>
  <c r="AB293" i="1"/>
  <c r="AB292" i="1"/>
  <c r="AB291" i="1"/>
  <c r="AB290" i="1"/>
  <c r="AB288" i="1"/>
  <c r="AB286" i="1"/>
  <c r="AB285" i="1"/>
  <c r="AB284" i="1"/>
  <c r="AB274" i="1"/>
  <c r="AB264" i="1"/>
  <c r="AB243" i="1"/>
  <c r="AB242" i="1"/>
  <c r="AB233" i="1"/>
  <c r="AB222" i="1"/>
  <c r="AB219" i="1"/>
  <c r="AB217" i="1"/>
  <c r="AB214" i="1"/>
  <c r="AB211" i="1"/>
  <c r="AB207" i="1"/>
  <c r="AB203" i="1"/>
  <c r="AB193" i="1"/>
  <c r="AB188" i="1"/>
  <c r="AB184" i="1"/>
  <c r="AB179" i="1"/>
  <c r="AB175" i="1"/>
  <c r="AB174" i="1"/>
  <c r="AB169" i="1"/>
  <c r="AB159" i="1"/>
  <c r="AB152" i="1"/>
  <c r="AB138" i="1"/>
  <c r="AB124" i="1"/>
  <c r="AB116" i="1"/>
  <c r="AB108" i="1"/>
  <c r="AB105" i="1"/>
  <c r="AB103" i="1"/>
  <c r="AB99" i="1"/>
  <c r="AB93" i="1"/>
  <c r="AB86" i="1"/>
  <c r="AB81" i="1"/>
  <c r="AB79" i="1"/>
  <c r="AB69" i="1"/>
  <c r="AB68" i="1"/>
  <c r="AB41" i="1"/>
  <c r="AB40" i="1"/>
  <c r="AB37" i="1"/>
  <c r="AB28" i="1"/>
  <c r="AB22" i="1"/>
  <c r="AB20" i="1"/>
  <c r="AB18" i="1"/>
  <c r="AB17" i="1"/>
  <c r="AB10" i="1"/>
  <c r="AB4" i="1"/>
  <c r="AA449" i="1"/>
  <c r="AA448" i="1"/>
  <c r="AA446" i="1"/>
  <c r="AA445" i="1"/>
  <c r="AA444" i="1"/>
  <c r="AA443" i="1"/>
  <c r="AA437" i="1"/>
  <c r="AA436" i="1"/>
  <c r="AA435" i="1"/>
  <c r="AA422" i="1"/>
  <c r="AA418" i="1"/>
  <c r="AA417" i="1"/>
  <c r="AA366" i="1"/>
  <c r="AA356" i="1"/>
  <c r="AA355" i="1"/>
  <c r="AA354" i="1"/>
  <c r="AA335" i="1"/>
  <c r="AA318" i="1"/>
  <c r="AA316" i="1"/>
  <c r="AA315" i="1"/>
  <c r="AA314" i="1"/>
  <c r="AA313" i="1"/>
  <c r="AA312" i="1"/>
  <c r="AA311" i="1"/>
  <c r="AA310" i="1"/>
  <c r="AA298" i="1"/>
  <c r="AA293" i="1"/>
  <c r="AA292" i="1"/>
  <c r="AA291" i="1"/>
  <c r="AA289" i="1"/>
  <c r="AA288" i="1"/>
  <c r="AA286" i="1"/>
  <c r="AA285" i="1"/>
  <c r="AA284" i="1"/>
  <c r="AA264" i="1"/>
  <c r="AA243" i="1"/>
  <c r="AA242" i="1"/>
  <c r="AA241" i="1"/>
  <c r="AA233" i="1"/>
  <c r="AA226" i="1"/>
  <c r="AA225" i="1"/>
  <c r="AA222" i="1"/>
  <c r="AA221" i="1"/>
  <c r="AA220" i="1"/>
  <c r="AA219" i="1"/>
  <c r="AA218" i="1"/>
  <c r="AA214" i="1"/>
  <c r="AA211" i="1"/>
  <c r="AA207" i="1"/>
  <c r="AA196" i="1"/>
  <c r="AA193" i="1"/>
  <c r="AA192" i="1"/>
  <c r="AA189" i="1"/>
  <c r="AA188" i="1"/>
  <c r="AA179" i="1"/>
  <c r="AA175" i="1"/>
  <c r="AA172" i="1"/>
  <c r="AA169" i="1"/>
  <c r="AA166" i="1"/>
  <c r="AA159" i="1"/>
  <c r="AA154" i="1"/>
  <c r="AA149" i="1"/>
  <c r="AA144" i="1"/>
  <c r="AA138" i="1"/>
  <c r="AA133" i="1"/>
  <c r="AA127" i="1"/>
  <c r="AA124" i="1"/>
  <c r="AA116" i="1"/>
  <c r="AA114" i="1"/>
  <c r="AA109" i="1"/>
  <c r="AA108" i="1"/>
  <c r="AA105" i="1"/>
  <c r="AA103" i="1"/>
  <c r="AA93" i="1"/>
  <c r="AA91" i="1"/>
  <c r="AA79" i="1"/>
  <c r="AA75" i="1"/>
  <c r="AA69" i="1"/>
  <c r="AA68" i="1"/>
  <c r="AA65" i="1"/>
  <c r="AA54" i="1"/>
  <c r="AA41" i="1"/>
  <c r="AA40" i="1"/>
  <c r="AA37" i="1"/>
  <c r="AA28" i="1"/>
  <c r="AA22" i="1"/>
  <c r="AA20" i="1"/>
  <c r="AA18" i="1"/>
  <c r="AA17" i="1"/>
  <c r="AA16" i="1"/>
  <c r="AA12" i="1"/>
  <c r="AA10" i="1"/>
  <c r="AA4" i="1"/>
  <c r="Z450" i="1"/>
  <c r="Z449" i="1"/>
  <c r="Z448" i="1"/>
  <c r="Z446" i="1"/>
  <c r="Z445" i="1"/>
  <c r="Z444" i="1"/>
  <c r="Z443" i="1"/>
  <c r="Z437" i="1"/>
  <c r="Z432" i="1"/>
  <c r="Z427" i="1"/>
  <c r="Z418" i="1"/>
  <c r="Z417" i="1"/>
  <c r="Z356" i="1"/>
  <c r="Z355" i="1"/>
  <c r="Z344" i="1"/>
  <c r="Z343" i="1"/>
  <c r="Z338" i="1"/>
  <c r="Z337" i="1"/>
  <c r="Z336" i="1"/>
  <c r="Z335" i="1"/>
  <c r="Z319" i="1"/>
  <c r="Z318" i="1"/>
  <c r="Z317" i="1"/>
  <c r="Z316" i="1"/>
  <c r="Z315" i="1"/>
  <c r="Z314" i="1"/>
  <c r="Z313" i="1"/>
  <c r="Z312" i="1"/>
  <c r="Z311" i="1"/>
  <c r="Z310" i="1"/>
  <c r="Z298" i="1"/>
  <c r="Z294" i="1"/>
  <c r="Z293" i="1"/>
  <c r="Z292" i="1"/>
  <c r="Z291" i="1"/>
  <c r="Z289" i="1"/>
  <c r="Z288" i="1"/>
  <c r="Z286" i="1"/>
  <c r="Z285" i="1"/>
  <c r="Z284" i="1"/>
  <c r="Z278" i="1"/>
  <c r="Z274" i="1"/>
  <c r="Z264" i="1"/>
  <c r="Z243" i="1"/>
  <c r="Z242" i="1"/>
  <c r="Z241" i="1"/>
  <c r="Z239" i="1"/>
  <c r="Z233" i="1"/>
  <c r="Z232" i="1"/>
  <c r="Z226" i="1"/>
  <c r="Z225" i="1"/>
  <c r="Z224" i="1"/>
  <c r="Z222" i="1"/>
  <c r="Z221" i="1"/>
  <c r="Z220" i="1"/>
  <c r="Z219" i="1"/>
  <c r="Z218" i="1"/>
  <c r="Z217" i="1"/>
  <c r="Z215" i="1"/>
  <c r="Z214" i="1"/>
  <c r="Z213" i="1"/>
  <c r="Z212" i="1"/>
  <c r="Z211" i="1"/>
  <c r="Z210" i="1"/>
  <c r="Z207" i="1"/>
  <c r="Z204" i="1"/>
  <c r="Z203" i="1"/>
  <c r="Z202" i="1"/>
  <c r="Z201" i="1"/>
  <c r="Z195" i="1"/>
  <c r="Z193" i="1"/>
  <c r="Z189" i="1"/>
  <c r="Z184" i="1"/>
  <c r="Z179" i="1"/>
  <c r="Z177" i="1"/>
  <c r="Z175" i="1"/>
  <c r="Z174" i="1"/>
  <c r="Z173" i="1"/>
  <c r="Z169" i="1"/>
  <c r="Z166" i="1"/>
  <c r="Z159" i="1"/>
  <c r="Z156" i="1"/>
  <c r="Z154" i="1"/>
  <c r="Z152" i="1"/>
  <c r="Z149" i="1"/>
  <c r="Z145" i="1"/>
  <c r="Z144" i="1"/>
  <c r="Z142" i="1"/>
  <c r="Z138" i="1"/>
  <c r="Z133" i="1"/>
  <c r="Z130" i="1"/>
  <c r="Z124" i="1"/>
  <c r="Z117" i="1"/>
  <c r="Z116" i="1"/>
  <c r="Z109" i="1"/>
  <c r="Z108" i="1"/>
  <c r="Z105" i="1"/>
  <c r="Z99" i="1"/>
  <c r="Z98" i="1"/>
  <c r="Z93" i="1"/>
  <c r="Z86" i="1"/>
  <c r="Z79" i="1"/>
  <c r="Z78" i="1"/>
  <c r="Z77" i="1"/>
  <c r="Z75" i="1"/>
  <c r="Z68" i="1"/>
  <c r="Z65" i="1"/>
  <c r="Z61" i="1"/>
  <c r="Z59" i="1"/>
  <c r="Z49" i="1"/>
  <c r="Z44" i="1"/>
  <c r="Z40" i="1"/>
  <c r="Z39" i="1"/>
  <c r="Z37" i="1"/>
  <c r="Z35" i="1"/>
  <c r="Z34" i="1"/>
  <c r="Z28" i="1"/>
  <c r="Z20" i="1"/>
  <c r="Z18" i="1"/>
  <c r="Z17" i="1"/>
  <c r="Z13" i="1"/>
  <c r="Z10" i="1"/>
  <c r="Y448" i="1"/>
  <c r="Y446" i="1"/>
  <c r="Y445" i="1"/>
  <c r="Y444" i="1"/>
  <c r="Y437" i="1"/>
  <c r="Y427" i="1"/>
  <c r="Y422" i="1"/>
  <c r="Y417" i="1"/>
  <c r="Y418" i="1"/>
  <c r="Y356" i="1"/>
  <c r="Y355" i="1"/>
  <c r="Y354" i="1"/>
  <c r="Y318" i="1"/>
  <c r="Y316" i="1"/>
  <c r="Y315" i="1"/>
  <c r="Y314" i="1"/>
  <c r="Y313" i="1"/>
  <c r="Y312" i="1"/>
  <c r="Y311" i="1"/>
  <c r="Y310" i="1"/>
  <c r="Y298" i="1"/>
  <c r="Y293" i="1"/>
  <c r="Y292" i="1"/>
  <c r="Y291" i="1"/>
  <c r="Y289" i="1"/>
  <c r="Y288" i="1"/>
  <c r="Y286" i="1"/>
  <c r="Y285" i="1"/>
  <c r="Y284" i="1"/>
  <c r="Y274" i="1"/>
  <c r="Y264" i="1"/>
  <c r="Y243" i="1"/>
  <c r="Y242" i="1"/>
  <c r="Y241" i="1"/>
  <c r="Y237" i="1"/>
  <c r="Y233" i="1"/>
  <c r="Y219" i="1"/>
  <c r="Y218" i="1"/>
  <c r="Y217" i="1"/>
  <c r="Y214" i="1"/>
  <c r="Y212" i="1"/>
  <c r="Y211" i="1"/>
  <c r="Y209" i="1"/>
  <c r="Y207" i="1"/>
  <c r="Y205" i="1"/>
  <c r="Y202" i="1"/>
  <c r="Y193" i="1"/>
  <c r="Y189" i="1"/>
  <c r="Y184" i="1"/>
  <c r="Y179" i="1"/>
  <c r="Y175" i="1"/>
  <c r="Y169" i="1"/>
  <c r="Y166" i="1"/>
  <c r="Y159" i="1"/>
  <c r="Y154" i="1"/>
  <c r="Y149" i="1"/>
  <c r="Y144" i="1"/>
  <c r="Y138" i="1"/>
  <c r="Y137" i="1"/>
  <c r="Y124" i="1"/>
  <c r="Y116" i="1"/>
  <c r="Y109" i="1"/>
  <c r="Y108" i="1"/>
  <c r="Y105" i="1"/>
  <c r="Y103" i="1"/>
  <c r="Y99" i="1"/>
  <c r="Y98" i="1"/>
  <c r="Y93" i="1"/>
  <c r="Y79" i="1"/>
  <c r="Y77" i="1"/>
  <c r="Y69" i="1"/>
  <c r="Y68" i="1"/>
  <c r="Y65" i="1"/>
  <c r="Y64" i="1"/>
  <c r="Y61" i="1"/>
  <c r="Y54" i="1"/>
  <c r="Y44" i="1"/>
  <c r="Y40" i="1"/>
  <c r="Y37" i="1"/>
  <c r="Y34" i="1"/>
  <c r="Y28" i="1"/>
  <c r="Y22" i="1"/>
  <c r="Y17" i="1"/>
  <c r="Y10" i="1"/>
  <c r="X448" i="1"/>
  <c r="X446" i="1"/>
  <c r="X445" i="1"/>
  <c r="X444" i="1"/>
  <c r="X437" i="1"/>
  <c r="X417" i="1"/>
  <c r="X355" i="1"/>
  <c r="X335" i="1"/>
  <c r="X334" i="1"/>
  <c r="X333" i="1"/>
  <c r="X328" i="1"/>
  <c r="X321" i="1"/>
  <c r="X320" i="1"/>
  <c r="X319" i="1"/>
  <c r="X318" i="1"/>
  <c r="X316" i="1"/>
  <c r="X315" i="1"/>
  <c r="X314" i="1"/>
  <c r="X313" i="1"/>
  <c r="X312" i="1"/>
  <c r="X311" i="1"/>
  <c r="X310" i="1"/>
  <c r="X298" i="1"/>
  <c r="X293" i="1"/>
  <c r="X292" i="1"/>
  <c r="X291" i="1"/>
  <c r="X289" i="1"/>
  <c r="X288" i="1"/>
  <c r="X286" i="1"/>
  <c r="X285" i="1"/>
  <c r="X284" i="1"/>
  <c r="X275" i="1"/>
  <c r="X273" i="1"/>
  <c r="X270" i="1"/>
  <c r="X269" i="1"/>
  <c r="X264" i="1"/>
  <c r="X243" i="1"/>
  <c r="X242" i="1"/>
  <c r="X241" i="1"/>
  <c r="X233" i="1"/>
  <c r="X230" i="1"/>
  <c r="X229" i="1"/>
  <c r="X227" i="1"/>
  <c r="X222" i="1"/>
  <c r="X219" i="1"/>
  <c r="X218" i="1"/>
  <c r="X216" i="1"/>
  <c r="X214" i="1"/>
  <c r="X211" i="1"/>
  <c r="X210" i="1"/>
  <c r="X207" i="1"/>
  <c r="X203" i="1"/>
  <c r="X202" i="1"/>
  <c r="X201" i="1"/>
  <c r="X195" i="1"/>
  <c r="X193" i="1"/>
  <c r="X189" i="1"/>
  <c r="X188" i="1"/>
  <c r="X186" i="1"/>
  <c r="X184" i="1"/>
  <c r="X180" i="1"/>
  <c r="X179" i="1"/>
  <c r="X177" i="1"/>
  <c r="X175" i="1"/>
  <c r="X169" i="1"/>
  <c r="X166" i="1"/>
  <c r="X159" i="1"/>
  <c r="X156" i="1"/>
  <c r="X154" i="1"/>
  <c r="X149" i="1"/>
  <c r="X144" i="1"/>
  <c r="X142" i="1"/>
  <c r="X138" i="1"/>
  <c r="X136" i="1"/>
  <c r="X128" i="1"/>
  <c r="X124" i="1"/>
  <c r="X119" i="1"/>
  <c r="X117" i="1"/>
  <c r="X116" i="1"/>
  <c r="X114" i="1"/>
  <c r="X109" i="1"/>
  <c r="X108" i="1"/>
  <c r="X103" i="1"/>
  <c r="X100" i="1"/>
  <c r="X93" i="1"/>
  <c r="X87" i="1"/>
  <c r="X86" i="1"/>
  <c r="X84" i="1"/>
  <c r="X79" i="1"/>
  <c r="X78" i="1"/>
  <c r="X69" i="1"/>
  <c r="X68" i="1"/>
  <c r="X65" i="1"/>
  <c r="X61" i="1"/>
  <c r="X59" i="1"/>
  <c r="X51" i="1"/>
  <c r="X46" i="1"/>
  <c r="X43" i="1"/>
  <c r="X41" i="1"/>
  <c r="X40" i="1"/>
  <c r="X37" i="1"/>
  <c r="X36" i="1"/>
  <c r="X28" i="1"/>
  <c r="X17" i="1"/>
  <c r="X12" i="1"/>
  <c r="X10" i="1"/>
  <c r="X4" i="1"/>
  <c r="W448" i="1"/>
  <c r="W446" i="1"/>
  <c r="W445" i="1"/>
  <c r="W444" i="1"/>
  <c r="W437" i="1"/>
  <c r="W435" i="1"/>
  <c r="W432" i="1"/>
  <c r="W423" i="1"/>
  <c r="W422" i="1"/>
  <c r="W421" i="1"/>
  <c r="W420" i="1"/>
  <c r="W417" i="1"/>
  <c r="W355" i="1"/>
  <c r="W350" i="1"/>
  <c r="W323" i="1"/>
  <c r="W321" i="1"/>
  <c r="W320" i="1"/>
  <c r="W319" i="1"/>
  <c r="W318" i="1"/>
  <c r="W316" i="1"/>
  <c r="W314" i="1"/>
  <c r="W313" i="1"/>
  <c r="W312" i="1"/>
  <c r="W311" i="1"/>
  <c r="W310" i="1"/>
  <c r="W293" i="1"/>
  <c r="W292" i="1"/>
  <c r="W291" i="1"/>
  <c r="W288" i="1"/>
  <c r="W286" i="1"/>
  <c r="W285" i="1"/>
  <c r="W284" i="1"/>
  <c r="W264" i="1"/>
  <c r="W243" i="1"/>
  <c r="W242" i="1"/>
  <c r="W241" i="1"/>
  <c r="W239" i="1"/>
  <c r="W233" i="1"/>
  <c r="W226" i="1"/>
  <c r="W222" i="1"/>
  <c r="W221" i="1"/>
  <c r="W219" i="1"/>
  <c r="W218" i="1"/>
  <c r="W216" i="1"/>
  <c r="W214" i="1"/>
  <c r="W211" i="1"/>
  <c r="W209" i="1"/>
  <c r="W207" i="1"/>
  <c r="W203" i="1"/>
  <c r="W202" i="1"/>
  <c r="W193" i="1"/>
  <c r="W188" i="1"/>
  <c r="W184" i="1"/>
  <c r="W179" i="1"/>
  <c r="W177" i="1"/>
  <c r="W175" i="1"/>
  <c r="W174" i="1"/>
  <c r="W172" i="1"/>
  <c r="W169" i="1"/>
  <c r="W166" i="1"/>
  <c r="W159" i="1"/>
  <c r="W156" i="1"/>
  <c r="W154" i="1"/>
  <c r="W152" i="1"/>
  <c r="W149" i="1"/>
  <c r="W144" i="1"/>
  <c r="W138" i="1"/>
  <c r="W137" i="1"/>
  <c r="W136" i="1"/>
  <c r="W133" i="1"/>
  <c r="W130" i="1"/>
  <c r="W124" i="1"/>
  <c r="W117" i="1"/>
  <c r="W116" i="1"/>
  <c r="W108" i="1"/>
  <c r="W106" i="1"/>
  <c r="W105" i="1"/>
  <c r="W100" i="1"/>
  <c r="W99" i="1"/>
  <c r="W93" i="1"/>
  <c r="W86" i="1"/>
  <c r="W84" i="1"/>
  <c r="W79" i="1"/>
  <c r="W77" i="1"/>
  <c r="W75" i="1"/>
  <c r="W69" i="1"/>
  <c r="W68" i="1"/>
  <c r="W65" i="1"/>
  <c r="W62" i="1"/>
  <c r="W61" i="1"/>
  <c r="W59" i="1"/>
  <c r="W52" i="1"/>
  <c r="W43" i="1"/>
  <c r="W41" i="1"/>
  <c r="W40" i="1"/>
  <c r="W37" i="1"/>
  <c r="W28" i="1"/>
  <c r="W22" i="1"/>
  <c r="W20" i="1"/>
  <c r="W19" i="1"/>
  <c r="W18" i="1"/>
  <c r="W17" i="1"/>
  <c r="W16" i="1"/>
  <c r="W10" i="1"/>
  <c r="W6" i="1"/>
  <c r="V28" i="1"/>
  <c r="V450" i="1"/>
  <c r="V449" i="1"/>
  <c r="V448" i="1"/>
  <c r="V446" i="1"/>
  <c r="V445" i="1"/>
  <c r="V444" i="1"/>
  <c r="V437" i="1"/>
  <c r="V436" i="1"/>
  <c r="V435" i="1"/>
  <c r="V423" i="1"/>
  <c r="V356" i="1"/>
  <c r="V355" i="1"/>
  <c r="V354" i="1"/>
  <c r="V345" i="1"/>
  <c r="V336" i="1"/>
  <c r="V328" i="1"/>
  <c r="V324" i="1"/>
  <c r="V321" i="1"/>
  <c r="V320" i="1"/>
  <c r="V319" i="1"/>
  <c r="V318" i="1"/>
  <c r="V316" i="1"/>
  <c r="V315" i="1"/>
  <c r="V314" i="1"/>
  <c r="V313" i="1"/>
  <c r="V312" i="1"/>
  <c r="V311" i="1"/>
  <c r="V310" i="1"/>
  <c r="V298" i="1"/>
  <c r="V294" i="1"/>
  <c r="V293" i="1"/>
  <c r="V292" i="1"/>
  <c r="V291" i="1"/>
  <c r="V289" i="1"/>
  <c r="V288" i="1"/>
  <c r="V286" i="1"/>
  <c r="V285" i="1"/>
  <c r="V284" i="1"/>
  <c r="V274" i="1"/>
  <c r="V272" i="1"/>
  <c r="V264" i="1"/>
  <c r="V243" i="1"/>
  <c r="V242" i="1"/>
  <c r="V241" i="1"/>
  <c r="V238" i="1"/>
  <c r="V226" i="1"/>
  <c r="V225" i="1"/>
  <c r="V222" i="1"/>
  <c r="V219" i="1"/>
  <c r="V218" i="1"/>
  <c r="V216" i="1"/>
  <c r="V214" i="1"/>
  <c r="V211" i="1"/>
  <c r="V209" i="1"/>
  <c r="V208" i="1"/>
  <c r="V207" i="1"/>
  <c r="V204" i="1"/>
  <c r="V201" i="1"/>
  <c r="V196" i="1"/>
  <c r="V193" i="1"/>
  <c r="V188" i="1"/>
  <c r="V186" i="1"/>
  <c r="V179" i="1"/>
  <c r="V177" i="1"/>
  <c r="V175" i="1"/>
  <c r="V174" i="1"/>
  <c r="V172" i="1"/>
  <c r="V169" i="1"/>
  <c r="V166" i="1"/>
  <c r="V164" i="1"/>
  <c r="V159" i="1"/>
  <c r="V156" i="1"/>
  <c r="V154" i="1"/>
  <c r="V152" i="1"/>
  <c r="V149" i="1"/>
  <c r="V144" i="1"/>
  <c r="V141" i="1"/>
  <c r="V138" i="1"/>
  <c r="V133" i="1"/>
  <c r="V124" i="1"/>
  <c r="V119" i="1"/>
  <c r="V117" i="1"/>
  <c r="V116" i="1"/>
  <c r="V109" i="1"/>
  <c r="V106" i="1"/>
  <c r="V103" i="1"/>
  <c r="V101" i="1"/>
  <c r="V100" i="1"/>
  <c r="V99" i="1"/>
  <c r="V94" i="1"/>
  <c r="V93" i="1"/>
  <c r="V91" i="1"/>
  <c r="V86" i="1"/>
  <c r="V84" i="1"/>
  <c r="V81" i="1"/>
  <c r="V79" i="1"/>
  <c r="V77" i="1"/>
  <c r="V75" i="1"/>
  <c r="V69" i="1"/>
  <c r="V68" i="1"/>
  <c r="V65" i="1"/>
  <c r="V61" i="1"/>
  <c r="V59" i="1"/>
  <c r="V52" i="1"/>
  <c r="V40" i="1"/>
  <c r="V39" i="1"/>
  <c r="V37" i="1"/>
  <c r="V22" i="1"/>
  <c r="V20" i="1"/>
  <c r="V19" i="1"/>
  <c r="V18" i="1"/>
  <c r="V17" i="1"/>
  <c r="V13" i="1"/>
  <c r="V12" i="1"/>
  <c r="V10" i="1"/>
  <c r="V4" i="1"/>
  <c r="U448" i="1"/>
  <c r="U446" i="1"/>
  <c r="U445" i="1"/>
  <c r="U437" i="1"/>
  <c r="U436" i="1"/>
  <c r="U435" i="1"/>
  <c r="U427" i="1"/>
  <c r="U423" i="1"/>
  <c r="U421" i="1"/>
  <c r="U417" i="1"/>
  <c r="U416" i="1"/>
  <c r="U414" i="1"/>
  <c r="U369" i="1"/>
  <c r="U370" i="1"/>
  <c r="U371" i="1"/>
  <c r="U365" i="1"/>
  <c r="U366" i="1"/>
  <c r="U367" i="1"/>
  <c r="U368" i="1"/>
  <c r="U364" i="1"/>
  <c r="U356" i="1"/>
  <c r="U355" i="1"/>
  <c r="U337" i="1"/>
  <c r="U321" i="1"/>
  <c r="U320" i="1"/>
  <c r="U319" i="1"/>
  <c r="U318" i="1"/>
  <c r="U316" i="1"/>
  <c r="U315" i="1"/>
  <c r="U314" i="1"/>
  <c r="U313" i="1"/>
  <c r="U312" i="1"/>
  <c r="U311" i="1"/>
  <c r="U310" i="1"/>
  <c r="U298" i="1"/>
  <c r="U293" i="1"/>
  <c r="U292" i="1"/>
  <c r="U291" i="1"/>
  <c r="U290" i="1"/>
  <c r="U289" i="1"/>
  <c r="U288" i="1"/>
  <c r="U286" i="1"/>
  <c r="U285" i="1"/>
  <c r="U284" i="1"/>
  <c r="U274" i="1"/>
  <c r="U270" i="1"/>
  <c r="U264" i="1"/>
  <c r="U243" i="1"/>
  <c r="U242" i="1"/>
  <c r="U241" i="1"/>
  <c r="U239" i="1"/>
  <c r="U233" i="1"/>
  <c r="U226" i="1"/>
  <c r="U222" i="1"/>
  <c r="U220" i="1"/>
  <c r="U219" i="1"/>
  <c r="U218" i="1"/>
  <c r="U217" i="1"/>
  <c r="U216" i="1"/>
  <c r="U214" i="1"/>
  <c r="U213" i="1"/>
  <c r="U212" i="1"/>
  <c r="U211" i="1"/>
  <c r="U207" i="1"/>
  <c r="U202" i="1"/>
  <c r="U201" i="1"/>
  <c r="U200" i="1"/>
  <c r="U196" i="1"/>
  <c r="U194" i="1"/>
  <c r="U193" i="1"/>
  <c r="U189" i="1"/>
  <c r="U188" i="1"/>
  <c r="U186" i="1"/>
  <c r="U180" i="1"/>
  <c r="U179" i="1"/>
  <c r="U177" i="1"/>
  <c r="U175" i="1"/>
  <c r="U173" i="1"/>
  <c r="U172" i="1"/>
  <c r="U169" i="1"/>
  <c r="U166" i="1"/>
  <c r="U159" i="1"/>
  <c r="U152" i="1"/>
  <c r="U144" i="1"/>
  <c r="U142" i="1"/>
  <c r="U138" i="1"/>
  <c r="U136" i="1"/>
  <c r="U133" i="1"/>
  <c r="U130" i="1"/>
  <c r="U128" i="1"/>
  <c r="U124" i="1"/>
  <c r="U123" i="1"/>
  <c r="U116" i="1"/>
  <c r="U115" i="1"/>
  <c r="U110" i="1"/>
  <c r="U109" i="1"/>
  <c r="U108" i="1"/>
  <c r="U105" i="1"/>
  <c r="U103" i="1"/>
  <c r="U99" i="1"/>
  <c r="U93" i="1"/>
  <c r="U91" i="1"/>
  <c r="U86" i="1"/>
  <c r="U81" i="1"/>
  <c r="U79" i="1"/>
  <c r="U78" i="1"/>
  <c r="U77" i="1"/>
  <c r="U75" i="1"/>
  <c r="U71" i="1"/>
  <c r="U69" i="1"/>
  <c r="U68" i="1"/>
  <c r="U64" i="1"/>
  <c r="U59" i="1"/>
  <c r="U55" i="1"/>
  <c r="U54" i="1"/>
  <c r="U44" i="1"/>
  <c r="U41" i="1"/>
  <c r="U40" i="1"/>
  <c r="U39" i="1"/>
  <c r="U37" i="1"/>
  <c r="U35" i="1"/>
  <c r="U28" i="1"/>
  <c r="U22" i="1"/>
  <c r="U17" i="1"/>
  <c r="U16" i="1"/>
  <c r="U12" i="1"/>
  <c r="U10" i="1"/>
  <c r="U4" i="1"/>
  <c r="T450" i="1"/>
  <c r="T449" i="1"/>
  <c r="T448" i="1"/>
  <c r="T446" i="1"/>
  <c r="T445" i="1"/>
  <c r="T444" i="1"/>
  <c r="T443" i="1"/>
  <c r="T437" i="1"/>
  <c r="T436" i="1"/>
  <c r="T435" i="1"/>
  <c r="T427" i="1"/>
  <c r="T421" i="1"/>
  <c r="T417" i="1"/>
  <c r="T416" i="1"/>
  <c r="T414" i="1"/>
  <c r="T365" i="1"/>
  <c r="T366" i="1"/>
  <c r="T367" i="1"/>
  <c r="T364" i="1"/>
  <c r="T356" i="1"/>
  <c r="T355" i="1"/>
  <c r="T349" i="1"/>
  <c r="T338" i="1"/>
  <c r="T337" i="1"/>
  <c r="T335" i="1"/>
  <c r="T333" i="1"/>
  <c r="T320" i="1"/>
  <c r="T318" i="1"/>
  <c r="T317" i="1"/>
  <c r="T316" i="1"/>
  <c r="T315" i="1"/>
  <c r="T314" i="1"/>
  <c r="T313" i="1"/>
  <c r="T312" i="1"/>
  <c r="T311" i="1"/>
  <c r="T310" i="1"/>
  <c r="T298" i="1"/>
  <c r="T293" i="1"/>
  <c r="T292" i="1"/>
  <c r="T291" i="1"/>
  <c r="T290" i="1"/>
  <c r="T289" i="1"/>
  <c r="T288" i="1"/>
  <c r="T286" i="1"/>
  <c r="T285" i="1"/>
  <c r="T284" i="1"/>
  <c r="T277" i="1"/>
  <c r="T274" i="1"/>
  <c r="T270" i="1"/>
  <c r="T264" i="1"/>
  <c r="T243" i="1"/>
  <c r="T242" i="1"/>
  <c r="T241" i="1"/>
  <c r="T239" i="1"/>
  <c r="T238" i="1"/>
  <c r="T233" i="1"/>
  <c r="T230" i="1"/>
  <c r="T226" i="1"/>
  <c r="T224" i="1"/>
  <c r="T222" i="1"/>
  <c r="T221" i="1"/>
  <c r="T220" i="1"/>
  <c r="T219" i="1"/>
  <c r="T218" i="1"/>
  <c r="T217" i="1"/>
  <c r="T216" i="1"/>
  <c r="T214" i="1"/>
  <c r="T213" i="1"/>
  <c r="T212" i="1"/>
  <c r="T211" i="1"/>
  <c r="T210" i="1"/>
  <c r="T207" i="1"/>
  <c r="T202" i="1"/>
  <c r="T201" i="1"/>
  <c r="T200" i="1"/>
  <c r="T196" i="1"/>
  <c r="T195" i="1"/>
  <c r="T194" i="1"/>
  <c r="T193" i="1"/>
  <c r="T189" i="1"/>
  <c r="T188" i="1"/>
  <c r="T186" i="1"/>
  <c r="T181" i="1"/>
  <c r="T179" i="1"/>
  <c r="T177" i="1"/>
  <c r="T175" i="1"/>
  <c r="T173" i="1"/>
  <c r="T169" i="1"/>
  <c r="T166" i="1"/>
  <c r="T159" i="1"/>
  <c r="T154" i="1"/>
  <c r="T152" i="1"/>
  <c r="T144" i="1"/>
  <c r="T142" i="1"/>
  <c r="T141" i="1"/>
  <c r="T138" i="1"/>
  <c r="T137" i="1"/>
  <c r="T133" i="1"/>
  <c r="T130" i="1"/>
  <c r="T128" i="1"/>
  <c r="T124" i="1"/>
  <c r="T123" i="1"/>
  <c r="T121" i="1"/>
  <c r="T117" i="1"/>
  <c r="T116" i="1"/>
  <c r="T115" i="1"/>
  <c r="T110" i="1"/>
  <c r="T108" i="1"/>
  <c r="T105" i="1"/>
  <c r="T103" i="1"/>
  <c r="T99" i="1"/>
  <c r="T93" i="1"/>
  <c r="T91" i="1"/>
  <c r="T89" i="1"/>
  <c r="T81" i="1"/>
  <c r="T79" i="1"/>
  <c r="T78" i="1"/>
  <c r="T77" i="1"/>
  <c r="T71" i="1"/>
  <c r="T69" i="1"/>
  <c r="T68" i="1"/>
  <c r="T65" i="1"/>
  <c r="T64" i="1"/>
  <c r="T61" i="1"/>
  <c r="T59" i="1"/>
  <c r="T55" i="1"/>
  <c r="T54" i="1"/>
  <c r="T44" i="1"/>
  <c r="T41" i="1"/>
  <c r="T40" i="1"/>
  <c r="T39" i="1"/>
  <c r="T37" i="1"/>
  <c r="T35" i="1"/>
  <c r="T28" i="1"/>
  <c r="T22" i="1"/>
  <c r="T17" i="1"/>
  <c r="T16" i="1"/>
  <c r="T12" i="1"/>
  <c r="T10" i="1"/>
  <c r="T4" i="1"/>
  <c r="T2" i="1"/>
  <c r="S230" i="1"/>
  <c r="S450" i="1"/>
  <c r="S449" i="1"/>
  <c r="S448" i="1"/>
  <c r="S446" i="1"/>
  <c r="S445" i="1"/>
  <c r="S444" i="1"/>
  <c r="S437" i="1"/>
  <c r="S436" i="1"/>
  <c r="S435" i="1"/>
  <c r="S428" i="1"/>
  <c r="S427" i="1"/>
  <c r="S423" i="1"/>
  <c r="S418" i="1"/>
  <c r="S417" i="1"/>
  <c r="S414" i="1"/>
  <c r="S356" i="1"/>
  <c r="S355" i="1"/>
  <c r="S354" i="1"/>
  <c r="S337" i="1"/>
  <c r="S335" i="1"/>
  <c r="S334" i="1"/>
  <c r="S332" i="1"/>
  <c r="S318" i="1"/>
  <c r="S317" i="1"/>
  <c r="S316" i="1"/>
  <c r="S315" i="1"/>
  <c r="S314" i="1"/>
  <c r="S313" i="1"/>
  <c r="S312" i="1"/>
  <c r="S311" i="1"/>
  <c r="S298" i="1"/>
  <c r="S293" i="1"/>
  <c r="S292" i="1"/>
  <c r="S291" i="1"/>
  <c r="S289" i="1"/>
  <c r="S288" i="1"/>
  <c r="S286" i="1"/>
  <c r="S285" i="1"/>
  <c r="S284" i="1"/>
  <c r="S270" i="1"/>
  <c r="S269" i="1"/>
  <c r="S264" i="1"/>
  <c r="S243" i="1"/>
  <c r="S241" i="1"/>
  <c r="S233" i="1"/>
  <c r="S232" i="1"/>
  <c r="S229" i="1"/>
  <c r="S226" i="1"/>
  <c r="S222" i="1"/>
  <c r="S219" i="1"/>
  <c r="S218" i="1"/>
  <c r="S215" i="1"/>
  <c r="S214" i="1"/>
  <c r="S213" i="1"/>
  <c r="S212" i="1"/>
  <c r="S211" i="1"/>
  <c r="S209" i="1"/>
  <c r="S207" i="1"/>
  <c r="S204" i="1"/>
  <c r="S202" i="1"/>
  <c r="S201" i="1"/>
  <c r="S199" i="1"/>
  <c r="S195" i="1"/>
  <c r="S193" i="1"/>
  <c r="S192" i="1"/>
  <c r="S188" i="1"/>
  <c r="S179" i="1"/>
  <c r="S177" i="1"/>
  <c r="S175" i="1"/>
  <c r="S169" i="1"/>
  <c r="S166" i="1"/>
  <c r="S164" i="1"/>
  <c r="S159" i="1"/>
  <c r="S156" i="1"/>
  <c r="S154" i="1"/>
  <c r="S149" i="1"/>
  <c r="S145" i="1"/>
  <c r="S144" i="1"/>
  <c r="S142" i="1"/>
  <c r="S141" i="1"/>
  <c r="S138" i="1"/>
  <c r="S133" i="1"/>
  <c r="S131" i="1"/>
  <c r="S124" i="1"/>
  <c r="S123" i="1"/>
  <c r="S117" i="1"/>
  <c r="S116" i="1"/>
  <c r="S115" i="1"/>
  <c r="S110" i="1"/>
  <c r="S109" i="1"/>
  <c r="S108" i="1"/>
  <c r="S105" i="1"/>
  <c r="S103" i="1"/>
  <c r="S99" i="1"/>
  <c r="S94" i="1"/>
  <c r="S93" i="1"/>
  <c r="S91" i="1"/>
  <c r="S88" i="1"/>
  <c r="S87" i="1"/>
  <c r="S84" i="1"/>
  <c r="S81" i="1"/>
  <c r="S79" i="1"/>
  <c r="S77" i="1"/>
  <c r="S75" i="1"/>
  <c r="S69" i="1"/>
  <c r="S68" i="1"/>
  <c r="S65" i="1"/>
  <c r="S59" i="1"/>
  <c r="S54" i="1"/>
  <c r="S52" i="1"/>
  <c r="S51" i="1"/>
  <c r="S48" i="1"/>
  <c r="S45" i="1"/>
  <c r="S44" i="1"/>
  <c r="S42" i="1"/>
  <c r="S41" i="1"/>
  <c r="S40" i="1"/>
  <c r="S39" i="1"/>
  <c r="S37" i="1"/>
  <c r="S35" i="1"/>
  <c r="S28" i="1"/>
  <c r="S22" i="1"/>
  <c r="S20" i="1"/>
  <c r="S17" i="1"/>
  <c r="S13" i="1"/>
  <c r="S12" i="1"/>
  <c r="S10" i="1"/>
  <c r="S7" i="1"/>
  <c r="S4" i="1"/>
  <c r="R166" i="1"/>
  <c r="R450" i="1"/>
  <c r="R449" i="1"/>
  <c r="R448" i="1"/>
  <c r="R445" i="1"/>
  <c r="R444" i="1"/>
  <c r="R437" i="1"/>
  <c r="R436" i="1"/>
  <c r="R435" i="1"/>
  <c r="R428" i="1"/>
  <c r="R418" i="1"/>
  <c r="R369" i="1"/>
  <c r="R370" i="1"/>
  <c r="R371" i="1"/>
  <c r="R368" i="1"/>
  <c r="R356" i="1"/>
  <c r="R355" i="1"/>
  <c r="R354" i="1"/>
  <c r="R334" i="1"/>
  <c r="R333" i="1"/>
  <c r="R332" i="1"/>
  <c r="R331" i="1"/>
  <c r="R326" i="1"/>
  <c r="R320" i="1"/>
  <c r="R319" i="1"/>
  <c r="R318" i="1"/>
  <c r="R317" i="1"/>
  <c r="R316" i="1"/>
  <c r="R315" i="1"/>
  <c r="R314" i="1"/>
  <c r="R313" i="1"/>
  <c r="R312" i="1"/>
  <c r="R311" i="1"/>
  <c r="R310" i="1"/>
  <c r="R298" i="1"/>
  <c r="R293" i="1"/>
  <c r="R292" i="1"/>
  <c r="R291" i="1"/>
  <c r="R289" i="1"/>
  <c r="R288" i="1"/>
  <c r="R286" i="1"/>
  <c r="R285" i="1"/>
  <c r="R284" i="1"/>
  <c r="R269" i="1"/>
  <c r="R264" i="1"/>
  <c r="R243" i="1"/>
  <c r="R242" i="1"/>
  <c r="R241" i="1"/>
  <c r="R233" i="1"/>
  <c r="R232" i="1"/>
  <c r="R230" i="1"/>
  <c r="R229" i="1"/>
  <c r="R226" i="1"/>
  <c r="R224" i="1"/>
  <c r="R220" i="1"/>
  <c r="R219" i="1"/>
  <c r="R218" i="1"/>
  <c r="R217" i="1"/>
  <c r="R216" i="1"/>
  <c r="R215" i="1"/>
  <c r="R214" i="1"/>
  <c r="R213" i="1"/>
  <c r="R212" i="1"/>
  <c r="R211" i="1"/>
  <c r="R209" i="1"/>
  <c r="R208" i="1"/>
  <c r="R207" i="1"/>
  <c r="R203" i="1"/>
  <c r="R202" i="1"/>
  <c r="R201" i="1"/>
  <c r="R199" i="1"/>
  <c r="R196" i="1"/>
  <c r="R195" i="1"/>
  <c r="R193" i="1"/>
  <c r="R192" i="1"/>
  <c r="R188" i="1"/>
  <c r="R186" i="1"/>
  <c r="R179" i="1"/>
  <c r="R177" i="1"/>
  <c r="R175" i="1"/>
  <c r="R174" i="1"/>
  <c r="R169" i="1"/>
  <c r="R164" i="1"/>
  <c r="R159" i="1"/>
  <c r="R156" i="1"/>
  <c r="R154" i="1"/>
  <c r="R149" i="1"/>
  <c r="R145" i="1"/>
  <c r="R144" i="1"/>
  <c r="R142" i="1"/>
  <c r="R141" i="1"/>
  <c r="R138" i="1"/>
  <c r="R133" i="1"/>
  <c r="R131" i="1"/>
  <c r="R124" i="1"/>
  <c r="R119" i="1"/>
  <c r="R117" i="1"/>
  <c r="R116" i="1"/>
  <c r="R115" i="1"/>
  <c r="R108" i="1"/>
  <c r="R105" i="1"/>
  <c r="R103" i="1"/>
  <c r="R101" i="1"/>
  <c r="R99" i="1"/>
  <c r="R94" i="1"/>
  <c r="R91" i="1"/>
  <c r="R88" i="1"/>
  <c r="R87" i="1"/>
  <c r="R81" i="1"/>
  <c r="R79" i="1"/>
  <c r="R78" i="1"/>
  <c r="R75" i="1"/>
  <c r="R72" i="1"/>
  <c r="R69" i="1"/>
  <c r="R65" i="1"/>
  <c r="R64" i="1"/>
  <c r="R59" i="1"/>
  <c r="R55" i="1"/>
  <c r="R52" i="1"/>
  <c r="R51" i="1"/>
  <c r="R44" i="1"/>
  <c r="R40" i="1"/>
  <c r="R39" i="1"/>
  <c r="R37" i="1"/>
  <c r="R35" i="1"/>
  <c r="R34" i="1"/>
  <c r="R28" i="1"/>
  <c r="R22" i="1"/>
  <c r="R17" i="1"/>
  <c r="R12" i="1"/>
  <c r="R10" i="1"/>
  <c r="R7" i="1"/>
  <c r="R4" i="1"/>
  <c r="R3" i="1"/>
  <c r="Q450" i="1"/>
  <c r="Q449" i="1"/>
  <c r="Q448" i="1"/>
  <c r="Q445" i="1"/>
  <c r="Q444" i="1"/>
  <c r="Q437" i="1"/>
  <c r="Q436" i="1"/>
  <c r="Q435" i="1"/>
  <c r="Q428" i="1"/>
  <c r="Q427" i="1"/>
  <c r="Q423" i="1"/>
  <c r="Q422" i="1"/>
  <c r="Q421" i="1"/>
  <c r="Q356" i="1"/>
  <c r="Q355" i="1"/>
  <c r="Q354" i="1"/>
  <c r="Q343" i="1"/>
  <c r="Q334" i="1"/>
  <c r="Q333" i="1"/>
  <c r="Q332" i="1"/>
  <c r="Q327" i="1"/>
  <c r="Q322" i="1"/>
  <c r="Q319" i="1"/>
  <c r="Q318" i="1"/>
  <c r="Q317" i="1"/>
  <c r="Q316" i="1"/>
  <c r="Q315" i="1"/>
  <c r="Q314" i="1"/>
  <c r="Q313" i="1"/>
  <c r="Q312" i="1"/>
  <c r="Q311" i="1"/>
  <c r="Q310" i="1"/>
  <c r="Q298" i="1"/>
  <c r="Q293" i="1"/>
  <c r="Q292" i="1"/>
  <c r="Q291" i="1"/>
  <c r="Q290" i="1"/>
  <c r="Q289" i="1"/>
  <c r="Q288" i="1"/>
  <c r="Q286" i="1"/>
  <c r="Q285" i="1"/>
  <c r="Q284" i="1"/>
  <c r="Q270" i="1"/>
  <c r="Q269" i="1"/>
  <c r="Q264" i="1"/>
  <c r="Q243" i="1"/>
  <c r="Q241" i="1"/>
  <c r="Q235" i="1"/>
  <c r="Q233" i="1"/>
  <c r="Q232" i="1"/>
  <c r="Q230" i="1"/>
  <c r="Q229" i="1"/>
  <c r="Q227" i="1"/>
  <c r="Q226" i="1"/>
  <c r="Q225" i="1"/>
  <c r="Q224" i="1"/>
  <c r="Q222" i="1"/>
  <c r="Q221" i="1"/>
  <c r="Q220" i="1"/>
  <c r="Q219" i="1"/>
  <c r="Q218" i="1"/>
  <c r="Q216" i="1"/>
  <c r="Q215" i="1"/>
  <c r="Q214" i="1"/>
  <c r="Q213" i="1"/>
  <c r="Q212" i="1"/>
  <c r="Q211" i="1"/>
  <c r="Q210" i="1"/>
  <c r="Q209" i="1"/>
  <c r="Q207" i="1"/>
  <c r="Q204" i="1"/>
  <c r="Q202" i="1"/>
  <c r="Q201" i="1"/>
  <c r="Q199" i="1"/>
  <c r="Q196" i="1"/>
  <c r="Q195" i="1"/>
  <c r="Q193" i="1"/>
  <c r="Q192" i="1"/>
  <c r="Q189" i="1"/>
  <c r="Q188" i="1"/>
  <c r="Q179" i="1"/>
  <c r="Q177" i="1"/>
  <c r="Q175" i="1"/>
  <c r="Q174" i="1"/>
  <c r="Q169" i="1"/>
  <c r="Q166" i="1"/>
  <c r="Q164" i="1"/>
  <c r="Q159" i="1"/>
  <c r="Q156" i="1"/>
  <c r="Q154" i="1"/>
  <c r="Q152" i="1"/>
  <c r="Q149" i="1"/>
  <c r="Q145" i="1"/>
  <c r="Q144" i="1"/>
  <c r="Q142" i="1"/>
  <c r="Q141" i="1"/>
  <c r="Q138" i="1"/>
  <c r="Q133" i="1"/>
  <c r="Q131" i="1"/>
  <c r="Q130" i="1"/>
  <c r="Q128" i="1"/>
  <c r="Q124" i="1"/>
  <c r="Q123" i="1"/>
  <c r="Q117" i="1"/>
  <c r="Q116" i="1"/>
  <c r="Q115" i="1"/>
  <c r="Q109" i="1"/>
  <c r="Q108" i="1"/>
  <c r="Q105" i="1"/>
  <c r="Q103" i="1"/>
  <c r="Q99" i="1"/>
  <c r="Q98" i="1"/>
  <c r="Q94" i="1"/>
  <c r="Q93" i="1"/>
  <c r="Q91" i="1"/>
  <c r="Q88" i="1"/>
  <c r="Q87" i="1"/>
  <c r="Q81" i="1"/>
  <c r="Q79" i="1"/>
  <c r="Q78" i="1"/>
  <c r="Q75" i="1"/>
  <c r="Q71" i="1"/>
  <c r="Q69" i="1"/>
  <c r="Q65" i="1"/>
  <c r="Q64" i="1"/>
  <c r="Q59" i="1"/>
  <c r="Q52" i="1"/>
  <c r="Q51" i="1"/>
  <c r="Q44" i="1"/>
  <c r="Q41" i="1"/>
  <c r="Q40" i="1"/>
  <c r="Q39" i="1"/>
  <c r="Q37" i="1"/>
  <c r="Q28" i="1"/>
  <c r="Q22" i="1"/>
  <c r="Q20" i="1"/>
  <c r="Q18" i="1"/>
  <c r="Q17" i="1"/>
  <c r="Q13" i="1"/>
  <c r="Q12" i="1"/>
  <c r="Q10" i="1"/>
  <c r="Q7" i="1"/>
  <c r="Q4" i="1"/>
  <c r="P450" i="1"/>
  <c r="P449" i="1"/>
  <c r="P448" i="1"/>
  <c r="P445" i="1"/>
  <c r="P437" i="1"/>
  <c r="P436" i="1"/>
  <c r="P435" i="1"/>
  <c r="P428" i="1"/>
  <c r="P427" i="1"/>
  <c r="P416" i="1"/>
  <c r="P356" i="1"/>
  <c r="P354" i="1"/>
  <c r="P337" i="1"/>
  <c r="P335" i="1"/>
  <c r="P334" i="1"/>
  <c r="P332" i="1"/>
  <c r="P322" i="1"/>
  <c r="P318" i="1"/>
  <c r="P317" i="1"/>
  <c r="P316" i="1"/>
  <c r="P315" i="1"/>
  <c r="P314" i="1"/>
  <c r="P313" i="1"/>
  <c r="P311" i="1"/>
  <c r="P310" i="1"/>
  <c r="P298" i="1"/>
  <c r="P294" i="1"/>
  <c r="P293" i="1"/>
  <c r="P292" i="1"/>
  <c r="P291" i="1"/>
  <c r="P290" i="1"/>
  <c r="P289" i="1"/>
  <c r="P288" i="1"/>
  <c r="P286" i="1"/>
  <c r="P285" i="1"/>
  <c r="P284" i="1"/>
  <c r="P269" i="1"/>
  <c r="P264" i="1"/>
  <c r="P243" i="1"/>
  <c r="P242" i="1"/>
  <c r="P233" i="1"/>
  <c r="P232" i="1"/>
  <c r="P230" i="1"/>
  <c r="P229" i="1"/>
  <c r="P222" i="1"/>
  <c r="P220" i="1"/>
  <c r="P219" i="1"/>
  <c r="P218" i="1"/>
  <c r="P215" i="1"/>
  <c r="P214" i="1"/>
  <c r="P213" i="1"/>
  <c r="P212" i="1"/>
  <c r="P211" i="1"/>
  <c r="P210" i="1"/>
  <c r="P209" i="1"/>
  <c r="P207" i="1"/>
  <c r="P202" i="1"/>
  <c r="P199" i="1"/>
  <c r="P195" i="1"/>
  <c r="P193" i="1"/>
  <c r="P192" i="1"/>
  <c r="P188" i="1"/>
  <c r="P179" i="1"/>
  <c r="P177" i="1"/>
  <c r="P175" i="1"/>
  <c r="P172" i="1"/>
  <c r="P169" i="1"/>
  <c r="P166" i="1"/>
  <c r="P164" i="1"/>
  <c r="P159" i="1"/>
  <c r="P156" i="1"/>
  <c r="P154" i="1"/>
  <c r="P145" i="1"/>
  <c r="P144" i="1"/>
  <c r="P141" i="1"/>
  <c r="P138" i="1"/>
  <c r="P133" i="1"/>
  <c r="P131" i="1"/>
  <c r="P128" i="1"/>
  <c r="P124" i="1"/>
  <c r="P117" i="1"/>
  <c r="P116" i="1"/>
  <c r="P115" i="1"/>
  <c r="P109" i="1"/>
  <c r="P105" i="1"/>
  <c r="P103" i="1"/>
  <c r="P99" i="1"/>
  <c r="P94" i="1"/>
  <c r="P91" i="1"/>
  <c r="P88" i="1"/>
  <c r="P87" i="1"/>
  <c r="P81" i="1"/>
  <c r="P79" i="1"/>
  <c r="P75" i="1"/>
  <c r="P68" i="1"/>
  <c r="P65" i="1"/>
  <c r="P59" i="1"/>
  <c r="P52" i="1"/>
  <c r="P51" i="1"/>
  <c r="P44" i="1"/>
  <c r="P40" i="1"/>
  <c r="P39" i="1"/>
  <c r="P37" i="1"/>
  <c r="P28" i="1"/>
  <c r="P22" i="1"/>
  <c r="P17" i="1"/>
  <c r="P13" i="1"/>
  <c r="P12" i="1"/>
  <c r="P10" i="1"/>
  <c r="O450" i="1"/>
  <c r="O449" i="1"/>
  <c r="O448" i="1"/>
  <c r="O445" i="1"/>
  <c r="O437" i="1"/>
  <c r="O436" i="1"/>
  <c r="O435" i="1"/>
  <c r="O428" i="1"/>
  <c r="O422" i="1"/>
  <c r="O418" i="1"/>
  <c r="O356" i="1"/>
  <c r="O355" i="1"/>
  <c r="O354" i="1"/>
  <c r="O350" i="1"/>
  <c r="O338" i="1"/>
  <c r="O337" i="1"/>
  <c r="O336" i="1"/>
  <c r="O334" i="1"/>
  <c r="O332" i="1"/>
  <c r="O322" i="1"/>
  <c r="O319" i="1"/>
  <c r="O318" i="1"/>
  <c r="O317" i="1"/>
  <c r="O316" i="1"/>
  <c r="O315" i="1"/>
  <c r="O314" i="1"/>
  <c r="O313" i="1"/>
  <c r="O312" i="1"/>
  <c r="O311" i="1"/>
  <c r="O310" i="1"/>
  <c r="O298" i="1"/>
  <c r="O294" i="1"/>
  <c r="O293" i="1"/>
  <c r="O292" i="1"/>
  <c r="O291" i="1"/>
  <c r="O290" i="1"/>
  <c r="O289" i="1"/>
  <c r="O288" i="1"/>
  <c r="O286" i="1"/>
  <c r="O285" i="1"/>
  <c r="O284" i="1"/>
  <c r="O278" i="1"/>
  <c r="O269" i="1"/>
  <c r="O264" i="1"/>
  <c r="O243" i="1"/>
  <c r="O242" i="1"/>
  <c r="O235" i="1"/>
  <c r="O233" i="1"/>
  <c r="O232" i="1"/>
  <c r="O230" i="1"/>
  <c r="O229" i="1"/>
  <c r="O226" i="1"/>
  <c r="O224" i="1"/>
  <c r="O222" i="1"/>
  <c r="O221" i="1"/>
  <c r="O219" i="1"/>
  <c r="O218" i="1"/>
  <c r="O217" i="1"/>
  <c r="O216" i="1"/>
  <c r="O215" i="1"/>
  <c r="O214" i="1"/>
  <c r="O213" i="1"/>
  <c r="O212" i="1"/>
  <c r="O211" i="1"/>
  <c r="O209" i="1"/>
  <c r="O207" i="1"/>
  <c r="O202" i="1"/>
  <c r="O200" i="1"/>
  <c r="O199" i="1"/>
  <c r="O195" i="1"/>
  <c r="O193" i="1"/>
  <c r="O192" i="1"/>
  <c r="O188" i="1"/>
  <c r="O179" i="1"/>
  <c r="O178" i="1"/>
  <c r="O177" i="1"/>
  <c r="O172" i="1"/>
  <c r="O169" i="1"/>
  <c r="O166" i="1"/>
  <c r="O164" i="1"/>
  <c r="O159" i="1"/>
  <c r="O156" i="1"/>
  <c r="O154" i="1"/>
  <c r="O153" i="1"/>
  <c r="O145" i="1"/>
  <c r="O144" i="1"/>
  <c r="O142" i="1"/>
  <c r="O141" i="1"/>
  <c r="O138" i="1"/>
  <c r="O137" i="1"/>
  <c r="O133" i="1"/>
  <c r="O131" i="1"/>
  <c r="O128" i="1"/>
  <c r="O124" i="1"/>
  <c r="O117" i="1"/>
  <c r="O116" i="1"/>
  <c r="O115" i="1"/>
  <c r="O109" i="1"/>
  <c r="O108" i="1"/>
  <c r="O105" i="1"/>
  <c r="O103" i="1"/>
  <c r="O99" i="1"/>
  <c r="O94" i="1"/>
  <c r="O93" i="1"/>
  <c r="O91" i="1"/>
  <c r="O88" i="1"/>
  <c r="O87" i="1"/>
  <c r="O81" i="1"/>
  <c r="O79" i="1"/>
  <c r="O78" i="1"/>
  <c r="O75" i="1"/>
  <c r="O69" i="1"/>
  <c r="O68" i="1"/>
  <c r="O65" i="1"/>
  <c r="O64" i="1"/>
  <c r="O59" i="1"/>
  <c r="O52" i="1"/>
  <c r="O51" i="1"/>
  <c r="O46" i="1"/>
  <c r="O44" i="1"/>
  <c r="O41" i="1"/>
  <c r="O40" i="1"/>
  <c r="O39" i="1"/>
  <c r="O37" i="1"/>
  <c r="O34" i="1"/>
  <c r="O28" i="1"/>
  <c r="O23" i="1"/>
  <c r="O22" i="1"/>
  <c r="O17" i="1"/>
  <c r="O13" i="1"/>
  <c r="O12" i="1"/>
  <c r="O10" i="1"/>
  <c r="O7" i="1"/>
  <c r="O4" i="1"/>
  <c r="N445" i="1"/>
  <c r="N450" i="1"/>
  <c r="N449" i="1"/>
  <c r="N448" i="1"/>
  <c r="N444" i="1"/>
  <c r="N437" i="1"/>
  <c r="N436" i="1"/>
  <c r="N435" i="1"/>
  <c r="N428" i="1"/>
  <c r="N422" i="1"/>
  <c r="N417" i="1"/>
  <c r="N356" i="1"/>
  <c r="N355" i="1"/>
  <c r="N354" i="1"/>
  <c r="N337" i="1"/>
  <c r="N336" i="1"/>
  <c r="N334" i="1"/>
  <c r="N332" i="1"/>
  <c r="N320" i="1"/>
  <c r="N319" i="1"/>
  <c r="N318" i="1"/>
  <c r="N317" i="1"/>
  <c r="N316" i="1"/>
  <c r="N315" i="1"/>
  <c r="N314" i="1"/>
  <c r="N313" i="1"/>
  <c r="N312" i="1"/>
  <c r="N311" i="1"/>
  <c r="N310" i="1"/>
  <c r="N298" i="1"/>
  <c r="N294" i="1"/>
  <c r="N293" i="1"/>
  <c r="N292" i="1"/>
  <c r="N291" i="1"/>
  <c r="N290" i="1"/>
  <c r="N289" i="1"/>
  <c r="N288" i="1"/>
  <c r="N286" i="1"/>
  <c r="N285" i="1"/>
  <c r="N284" i="1"/>
  <c r="N278" i="1"/>
  <c r="N277" i="1"/>
  <c r="N269" i="1"/>
  <c r="N264" i="1"/>
  <c r="N243" i="1"/>
  <c r="N241" i="1"/>
  <c r="N238" i="1"/>
  <c r="N233" i="1"/>
  <c r="N232" i="1"/>
  <c r="N230" i="1"/>
  <c r="N229" i="1"/>
  <c r="N226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09" i="1"/>
  <c r="N207" i="1"/>
  <c r="N204" i="1"/>
  <c r="N202" i="1"/>
  <c r="N199" i="1"/>
  <c r="N195" i="1"/>
  <c r="N193" i="1"/>
  <c r="N192" i="1"/>
  <c r="N188" i="1"/>
  <c r="N179" i="1"/>
  <c r="N177" i="1"/>
  <c r="N175" i="1"/>
  <c r="N174" i="1"/>
  <c r="N169" i="1"/>
  <c r="N166" i="1"/>
  <c r="N164" i="1"/>
  <c r="N159" i="1"/>
  <c r="N156" i="1"/>
  <c r="N154" i="1"/>
  <c r="N153" i="1"/>
  <c r="N152" i="1"/>
  <c r="N145" i="1"/>
  <c r="N144" i="1"/>
  <c r="N142" i="1"/>
  <c r="N141" i="1"/>
  <c r="N138" i="1"/>
  <c r="N133" i="1"/>
  <c r="N131" i="1"/>
  <c r="N130" i="1"/>
  <c r="N124" i="1"/>
  <c r="N117" i="1"/>
  <c r="N116" i="1"/>
  <c r="N115" i="1"/>
  <c r="N109" i="1"/>
  <c r="N108" i="1"/>
  <c r="N105" i="1"/>
  <c r="N103" i="1"/>
  <c r="N99" i="1"/>
  <c r="N98" i="1"/>
  <c r="N94" i="1"/>
  <c r="N93" i="1"/>
  <c r="N91" i="1"/>
  <c r="N88" i="1"/>
  <c r="N87" i="1"/>
  <c r="N81" i="1"/>
  <c r="N79" i="1"/>
  <c r="N78" i="1"/>
  <c r="N75" i="1"/>
  <c r="N72" i="1"/>
  <c r="N69" i="1"/>
  <c r="N68" i="1"/>
  <c r="N65" i="1"/>
  <c r="N64" i="1"/>
  <c r="N59" i="1"/>
  <c r="N55" i="1"/>
  <c r="N52" i="1"/>
  <c r="N51" i="1"/>
  <c r="N46" i="1"/>
  <c r="N44" i="1"/>
  <c r="N41" i="1"/>
  <c r="N40" i="1"/>
  <c r="N39" i="1"/>
  <c r="N37" i="1"/>
  <c r="N28" i="1"/>
  <c r="N22" i="1"/>
  <c r="N17" i="1"/>
  <c r="N12" i="1"/>
  <c r="N10" i="1"/>
  <c r="N7" i="1"/>
  <c r="N4" i="1"/>
  <c r="M448" i="1"/>
  <c r="M445" i="1"/>
  <c r="M444" i="1"/>
  <c r="M437" i="1"/>
  <c r="M436" i="1"/>
  <c r="M435" i="1"/>
  <c r="M422" i="1"/>
  <c r="M421" i="1"/>
  <c r="M418" i="1"/>
  <c r="M356" i="1"/>
  <c r="M355" i="1"/>
  <c r="M354" i="1"/>
  <c r="M337" i="1"/>
  <c r="M336" i="1"/>
  <c r="M322" i="1"/>
  <c r="M320" i="1"/>
  <c r="M318" i="1"/>
  <c r="M317" i="1"/>
  <c r="M316" i="1"/>
  <c r="M315" i="1"/>
  <c r="M314" i="1"/>
  <c r="M313" i="1"/>
  <c r="M312" i="1"/>
  <c r="M311" i="1"/>
  <c r="M310" i="1"/>
  <c r="M298" i="1"/>
  <c r="M294" i="1"/>
  <c r="M293" i="1"/>
  <c r="M292" i="1"/>
  <c r="M291" i="1"/>
  <c r="M290" i="1"/>
  <c r="M289" i="1"/>
  <c r="M288" i="1"/>
  <c r="M286" i="1"/>
  <c r="M285" i="1"/>
  <c r="M284" i="1"/>
  <c r="M278" i="1"/>
  <c r="M264" i="1"/>
  <c r="M243" i="1"/>
  <c r="M242" i="1"/>
  <c r="M235" i="1"/>
  <c r="M233" i="1"/>
  <c r="M230" i="1"/>
  <c r="M226" i="1"/>
  <c r="M224" i="1"/>
  <c r="M222" i="1"/>
  <c r="M221" i="1"/>
  <c r="M219" i="1"/>
  <c r="M218" i="1"/>
  <c r="M217" i="1"/>
  <c r="M216" i="1"/>
  <c r="M214" i="1"/>
  <c r="M213" i="1"/>
  <c r="M212" i="1"/>
  <c r="M211" i="1"/>
  <c r="M202" i="1"/>
  <c r="M201" i="1"/>
  <c r="M200" i="1"/>
  <c r="M193" i="1"/>
  <c r="M179" i="1"/>
  <c r="M177" i="1"/>
  <c r="M175" i="1"/>
  <c r="M174" i="1"/>
  <c r="M169" i="1"/>
  <c r="M159" i="1"/>
  <c r="M152" i="1"/>
  <c r="M144" i="1"/>
  <c r="M141" i="1"/>
  <c r="M138" i="1"/>
  <c r="M137" i="1"/>
  <c r="M133" i="1"/>
  <c r="M124" i="1"/>
  <c r="M121" i="1"/>
  <c r="M116" i="1"/>
  <c r="M109" i="1"/>
  <c r="M108" i="1"/>
  <c r="M105" i="1"/>
  <c r="M103" i="1"/>
  <c r="M99" i="1"/>
  <c r="M98" i="1"/>
  <c r="M93" i="1"/>
  <c r="M81" i="1"/>
  <c r="M79" i="1"/>
  <c r="M75" i="1"/>
  <c r="M72" i="1"/>
  <c r="M71" i="1"/>
  <c r="M65" i="1"/>
  <c r="M64" i="1"/>
  <c r="M53" i="1"/>
  <c r="M46" i="1"/>
  <c r="M43" i="1"/>
  <c r="M41" i="1"/>
  <c r="M40" i="1"/>
  <c r="M37" i="1"/>
  <c r="M34" i="1"/>
  <c r="M28" i="1"/>
  <c r="M22" i="1"/>
  <c r="M18" i="1"/>
  <c r="M17" i="1"/>
  <c r="M13" i="1"/>
  <c r="M10" i="1"/>
  <c r="M12" i="1"/>
  <c r="L448" i="1"/>
  <c r="L445" i="1"/>
  <c r="L444" i="1"/>
  <c r="L437" i="1"/>
  <c r="L436" i="1"/>
  <c r="L435" i="1"/>
  <c r="L421" i="1"/>
  <c r="L418" i="1"/>
  <c r="L356" i="1"/>
  <c r="L355" i="1"/>
  <c r="L354" i="1"/>
  <c r="L338" i="1"/>
  <c r="L337" i="1"/>
  <c r="L336" i="1"/>
  <c r="L329" i="1"/>
  <c r="L319" i="1"/>
  <c r="L318" i="1"/>
  <c r="L315" i="1"/>
  <c r="L314" i="1"/>
  <c r="L313" i="1"/>
  <c r="L312" i="1"/>
  <c r="L311" i="1"/>
  <c r="L310" i="1"/>
  <c r="L298" i="1"/>
  <c r="L293" i="1"/>
  <c r="L291" i="1"/>
  <c r="L290" i="1"/>
  <c r="L289" i="1"/>
  <c r="L288" i="1"/>
  <c r="L286" i="1"/>
  <c r="L285" i="1"/>
  <c r="L284" i="1"/>
  <c r="L278" i="1"/>
  <c r="L264" i="1"/>
  <c r="L243" i="1"/>
  <c r="L242" i="1"/>
  <c r="L239" i="1"/>
  <c r="L233" i="1"/>
  <c r="L230" i="1"/>
  <c r="L226" i="1"/>
  <c r="L225" i="1"/>
  <c r="L222" i="1"/>
  <c r="L221" i="1"/>
  <c r="L219" i="1"/>
  <c r="L218" i="1"/>
  <c r="L217" i="1"/>
  <c r="L216" i="1"/>
  <c r="L214" i="1"/>
  <c r="L213" i="1"/>
  <c r="L212" i="1"/>
  <c r="L211" i="1"/>
  <c r="L207" i="1"/>
  <c r="L203" i="1"/>
  <c r="L196" i="1"/>
  <c r="L193" i="1"/>
  <c r="L184" i="1"/>
  <c r="L179" i="1"/>
  <c r="L177" i="1"/>
  <c r="L175" i="1"/>
  <c r="L173" i="1"/>
  <c r="L159" i="1"/>
  <c r="L156" i="1"/>
  <c r="L144" i="1"/>
  <c r="L138" i="1"/>
  <c r="L124" i="1"/>
  <c r="L116" i="1"/>
  <c r="L109" i="1"/>
  <c r="L108" i="1"/>
  <c r="L105" i="1"/>
  <c r="L103" i="1"/>
  <c r="L99" i="1"/>
  <c r="L91" i="1"/>
  <c r="L86" i="1"/>
  <c r="L84" i="1"/>
  <c r="L79" i="1"/>
  <c r="L77" i="1"/>
  <c r="L75" i="1"/>
  <c r="L65" i="1"/>
  <c r="L52" i="1"/>
  <c r="L46" i="1"/>
  <c r="L41" i="1"/>
  <c r="L40" i="1"/>
  <c r="L39" i="1"/>
  <c r="L37" i="1"/>
  <c r="L28" i="1"/>
  <c r="L22" i="1"/>
  <c r="L17" i="1"/>
  <c r="L10" i="1"/>
  <c r="L4" i="1"/>
  <c r="K450" i="1"/>
  <c r="K448" i="1"/>
  <c r="K445" i="1"/>
  <c r="K444" i="1"/>
  <c r="K437" i="1"/>
  <c r="K436" i="1"/>
  <c r="K435" i="1"/>
  <c r="K414" i="1"/>
  <c r="K356" i="1"/>
  <c r="K355" i="1"/>
  <c r="K354" i="1"/>
  <c r="K337" i="1"/>
  <c r="K336" i="1"/>
  <c r="K335" i="1"/>
  <c r="K319" i="1"/>
  <c r="K318" i="1"/>
  <c r="K315" i="1"/>
  <c r="K314" i="1"/>
  <c r="K313" i="1"/>
  <c r="K312" i="1"/>
  <c r="K311" i="1"/>
  <c r="K310" i="1"/>
  <c r="K298" i="1"/>
  <c r="K294" i="1"/>
  <c r="K293" i="1"/>
  <c r="K292" i="1"/>
  <c r="K291" i="1"/>
  <c r="K290" i="1"/>
  <c r="K289" i="1"/>
  <c r="K288" i="1"/>
  <c r="K286" i="1"/>
  <c r="K285" i="1"/>
  <c r="K284" i="1"/>
  <c r="K278" i="1"/>
  <c r="K269" i="1"/>
  <c r="K264" i="1"/>
  <c r="K243" i="1"/>
  <c r="K242" i="1"/>
  <c r="K241" i="1"/>
  <c r="K233" i="1"/>
  <c r="K230" i="1"/>
  <c r="K226" i="1"/>
  <c r="K224" i="1"/>
  <c r="K222" i="1"/>
  <c r="K221" i="1"/>
  <c r="K219" i="1"/>
  <c r="K218" i="1"/>
  <c r="K217" i="1"/>
  <c r="K216" i="1"/>
  <c r="K214" i="1"/>
  <c r="K213" i="1"/>
  <c r="K212" i="1"/>
  <c r="K211" i="1"/>
  <c r="K207" i="1"/>
  <c r="K193" i="1"/>
  <c r="K179" i="1"/>
  <c r="K177" i="1"/>
  <c r="K175" i="1"/>
  <c r="K172" i="1"/>
  <c r="K169" i="1"/>
  <c r="K166" i="1"/>
  <c r="K159" i="1"/>
  <c r="K156" i="1"/>
  <c r="K154" i="1"/>
  <c r="K144" i="1"/>
  <c r="K138" i="1"/>
  <c r="K137" i="1"/>
  <c r="K133" i="1"/>
  <c r="K124" i="1"/>
  <c r="K119" i="1"/>
  <c r="K117" i="1"/>
  <c r="K116" i="1"/>
  <c r="K109" i="1"/>
  <c r="K105" i="1"/>
  <c r="K103" i="1"/>
  <c r="K99" i="1"/>
  <c r="K98" i="1"/>
  <c r="K93" i="1"/>
  <c r="K91" i="1"/>
  <c r="K81" i="1"/>
  <c r="K79" i="1"/>
  <c r="K78" i="1"/>
  <c r="K75" i="1"/>
  <c r="K65" i="1"/>
  <c r="K64" i="1"/>
  <c r="K59" i="1"/>
  <c r="K52" i="1"/>
  <c r="K50" i="1"/>
  <c r="K46" i="1"/>
  <c r="K40" i="1"/>
  <c r="K39" i="1"/>
  <c r="K37" i="1"/>
  <c r="K28" i="1"/>
  <c r="K23" i="1"/>
  <c r="K22" i="1"/>
  <c r="K20" i="1"/>
  <c r="K17" i="1"/>
  <c r="K10" i="1"/>
  <c r="K4" i="1"/>
  <c r="J450" i="1"/>
  <c r="J448" i="1"/>
  <c r="J445" i="1"/>
  <c r="J444" i="1"/>
  <c r="J437" i="1"/>
  <c r="J436" i="1"/>
  <c r="J435" i="1"/>
  <c r="J417" i="1"/>
  <c r="J356" i="1"/>
  <c r="J355" i="1"/>
  <c r="J354" i="1"/>
  <c r="J337" i="1"/>
  <c r="J336" i="1"/>
  <c r="J318" i="1"/>
  <c r="J316" i="1"/>
  <c r="J315" i="1"/>
  <c r="J313" i="1"/>
  <c r="J312" i="1"/>
  <c r="J311" i="1"/>
  <c r="J310" i="1"/>
  <c r="J298" i="1"/>
  <c r="J293" i="1"/>
  <c r="J292" i="1"/>
  <c r="J291" i="1"/>
  <c r="J290" i="1"/>
  <c r="J289" i="1"/>
  <c r="J288" i="1"/>
  <c r="J286" i="1"/>
  <c r="J285" i="1"/>
  <c r="J284" i="1"/>
  <c r="J278" i="1"/>
  <c r="J277" i="1"/>
  <c r="J272" i="1"/>
  <c r="J264" i="1"/>
  <c r="J230" i="1"/>
  <c r="J226" i="1"/>
  <c r="J224" i="1"/>
  <c r="J221" i="1"/>
  <c r="J220" i="1"/>
  <c r="J219" i="1"/>
  <c r="J218" i="1"/>
  <c r="J217" i="1"/>
  <c r="J216" i="1"/>
  <c r="J215" i="1"/>
  <c r="J214" i="1"/>
  <c r="J213" i="1"/>
  <c r="J212" i="1"/>
  <c r="J211" i="1"/>
  <c r="J209" i="1"/>
  <c r="J207" i="1"/>
  <c r="J201" i="1"/>
  <c r="J193" i="1"/>
  <c r="J189" i="1"/>
  <c r="J188" i="1"/>
  <c r="J179" i="1"/>
  <c r="J177" i="1"/>
  <c r="J175" i="1"/>
  <c r="J174" i="1"/>
  <c r="J172" i="1"/>
  <c r="J169" i="1"/>
  <c r="J166" i="1"/>
  <c r="J159" i="1"/>
  <c r="J154" i="1"/>
  <c r="J152" i="1"/>
  <c r="J149" i="1"/>
  <c r="J144" i="1"/>
  <c r="J141" i="1"/>
  <c r="J138" i="1"/>
  <c r="J133" i="1"/>
  <c r="J124" i="1"/>
  <c r="J123" i="1"/>
  <c r="J117" i="1"/>
  <c r="J116" i="1"/>
  <c r="J115" i="1"/>
  <c r="J109" i="1"/>
  <c r="J105" i="1"/>
  <c r="J103" i="1"/>
  <c r="J101" i="1"/>
  <c r="J99" i="1"/>
  <c r="J91" i="1"/>
  <c r="J87" i="1"/>
  <c r="J86" i="1"/>
  <c r="J81" i="1"/>
  <c r="J79" i="1"/>
  <c r="J78" i="1"/>
  <c r="J75" i="1"/>
  <c r="J69" i="1"/>
  <c r="J68" i="1"/>
  <c r="J65" i="1"/>
  <c r="J59" i="1"/>
  <c r="J52" i="1"/>
  <c r="J46" i="1"/>
  <c r="J44" i="1"/>
  <c r="J40" i="1"/>
  <c r="J39" i="1"/>
  <c r="J37" i="1"/>
  <c r="J28" i="1"/>
  <c r="J23" i="1"/>
  <c r="J22" i="1"/>
  <c r="J20" i="1"/>
  <c r="J18" i="1"/>
  <c r="J17" i="1"/>
  <c r="J16" i="1"/>
  <c r="J13" i="1"/>
  <c r="J10" i="1"/>
  <c r="J7" i="1"/>
  <c r="J6" i="1"/>
  <c r="S453" i="1" l="1"/>
  <c r="W453" i="1"/>
  <c r="AE453" i="1"/>
  <c r="AD453" i="1"/>
  <c r="AH453" i="1"/>
  <c r="AC453" i="1"/>
  <c r="AB453" i="1"/>
  <c r="AF453" i="1"/>
  <c r="AG453" i="1"/>
  <c r="AI453" i="1"/>
  <c r="K453" i="1"/>
  <c r="L453" i="1"/>
  <c r="Y453" i="1"/>
  <c r="Z453" i="1"/>
  <c r="R453" i="1"/>
  <c r="AA453" i="1"/>
  <c r="Q453" i="1"/>
  <c r="T453" i="1"/>
  <c r="U453" i="1"/>
  <c r="O453" i="1"/>
  <c r="X453" i="1"/>
  <c r="V453" i="1"/>
  <c r="M453" i="1"/>
  <c r="N453" i="1"/>
  <c r="J453" i="1"/>
  <c r="P453" i="1"/>
</calcChain>
</file>

<file path=xl/sharedStrings.xml><?xml version="1.0" encoding="utf-8"?>
<sst xmlns="http://schemas.openxmlformats.org/spreadsheetml/2006/main" count="2224" uniqueCount="1442">
  <si>
    <t>asin</t>
  </si>
  <si>
    <t>SKU #</t>
  </si>
  <si>
    <t>Bar code</t>
  </si>
  <si>
    <t>Inspirational Bracelet</t>
  </si>
  <si>
    <t>y</t>
  </si>
  <si>
    <t>B07LGTJ2TX</t>
  </si>
  <si>
    <t>02-BI23-N71J</t>
  </si>
  <si>
    <t>X002030N17</t>
  </si>
  <si>
    <t>RING</t>
  </si>
  <si>
    <t>B07DM41PRW</t>
  </si>
  <si>
    <t>0A-4VQZ-L9SA</t>
  </si>
  <si>
    <t>X001SYR2YF</t>
  </si>
  <si>
    <t>B07FKR2NGD</t>
  </si>
  <si>
    <t>X001U38KWR</t>
  </si>
  <si>
    <t>B07LH47S8M</t>
  </si>
  <si>
    <t>10-TNCF-SX20</t>
  </si>
  <si>
    <t>X002030JEN</t>
  </si>
  <si>
    <t>BANGLE</t>
  </si>
  <si>
    <t>B072XZ3Q6L</t>
  </si>
  <si>
    <t>X001SYOHCZ</t>
  </si>
  <si>
    <t>supreesed</t>
  </si>
  <si>
    <t xml:space="preserve">y </t>
  </si>
  <si>
    <t>B07LH69GRT</t>
  </si>
  <si>
    <t>X00203ARA9</t>
  </si>
  <si>
    <r>
      <rPr>
        <b/>
        <sz val="12"/>
        <color indexed="12"/>
        <rFont val="細明體"/>
        <family val="3"/>
        <charset val="136"/>
      </rPr>
      <t>尺寸</t>
    </r>
    <r>
      <rPr>
        <b/>
        <sz val="12"/>
        <color indexed="12"/>
        <rFont val="Arial"/>
        <family val="2"/>
      </rPr>
      <t xml:space="preserve">80MM*70MM*10MM
</t>
    </r>
    <r>
      <rPr>
        <b/>
        <sz val="12"/>
        <color indexed="12"/>
        <rFont val="細明體"/>
        <family val="3"/>
        <charset val="136"/>
      </rPr>
      <t>重量</t>
    </r>
    <r>
      <rPr>
        <b/>
        <sz val="12"/>
        <color indexed="12"/>
        <rFont val="Arial"/>
        <family val="2"/>
      </rPr>
      <t>37g</t>
    </r>
  </si>
  <si>
    <t>B07FKTVBQY</t>
  </si>
  <si>
    <t>1L-9LC3-PVEW</t>
  </si>
  <si>
    <t>X001U3AGDN</t>
  </si>
  <si>
    <t>SETS</t>
  </si>
  <si>
    <t>B0721XGG2L</t>
  </si>
  <si>
    <t>X001JTMSJ3</t>
  </si>
  <si>
    <t>韩国两客机碰撞</t>
  </si>
  <si>
    <t>NECKLACE</t>
  </si>
  <si>
    <t>B07LH7298P</t>
  </si>
  <si>
    <t>X0020D7HHZ</t>
  </si>
  <si>
    <r>
      <rPr>
        <b/>
        <sz val="12"/>
        <color indexed="12"/>
        <rFont val="細明體"/>
        <family val="3"/>
        <charset val="136"/>
      </rPr>
      <t>尺寸</t>
    </r>
    <r>
      <rPr>
        <b/>
        <sz val="12"/>
        <color indexed="12"/>
        <rFont val="Arial"/>
        <family val="2"/>
      </rPr>
      <t xml:space="preserve">45MM*65MM*12MM
</t>
    </r>
    <r>
      <rPr>
        <b/>
        <sz val="12"/>
        <color indexed="12"/>
        <rFont val="細明體"/>
        <family val="3"/>
        <charset val="136"/>
      </rPr>
      <t>重量</t>
    </r>
    <r>
      <rPr>
        <b/>
        <sz val="12"/>
        <color indexed="12"/>
        <rFont val="Arial"/>
        <family val="2"/>
      </rPr>
      <t>51g</t>
    </r>
  </si>
  <si>
    <t>X001I80LBH</t>
  </si>
  <si>
    <t>B074T7V9TD</t>
  </si>
  <si>
    <t>X001JFFAKB</t>
  </si>
  <si>
    <t>B07DM2YTY8</t>
  </si>
  <si>
    <t>2K-4FB4-SWQJ</t>
  </si>
  <si>
    <t>X001SYO0IL</t>
  </si>
  <si>
    <t>B07FL2SWHF</t>
  </si>
  <si>
    <t>X001U2TQDZ</t>
  </si>
  <si>
    <t>B071JNSCYR</t>
  </si>
  <si>
    <t>2N-BUQ8-NME9</t>
  </si>
  <si>
    <t>X001I970ZL</t>
  </si>
  <si>
    <t>B072K6BY4K</t>
  </si>
  <si>
    <t>2O-UV9W-41FY</t>
  </si>
  <si>
    <t>X001MXV20H</t>
  </si>
  <si>
    <t>B07LH53X5W</t>
  </si>
  <si>
    <t>33-07FL-JAC6</t>
  </si>
  <si>
    <t>X002039QAL</t>
  </si>
  <si>
    <t>B071H2LV74</t>
  </si>
  <si>
    <t>3C-XYSU-I0O5</t>
  </si>
  <si>
    <t>X001JFBQZJ</t>
  </si>
  <si>
    <t>B07FLW8M2J</t>
  </si>
  <si>
    <t>3H-POHQ-O0DC</t>
  </si>
  <si>
    <t>X001U34QLL</t>
  </si>
  <si>
    <t>B07DM4CHDW</t>
  </si>
  <si>
    <t>3M-QNFN-JKAN</t>
  </si>
  <si>
    <t>X001TN94EB</t>
  </si>
  <si>
    <t>B07DM4R9R6</t>
  </si>
  <si>
    <t>3W-DPP9-3SO9</t>
  </si>
  <si>
    <t>X001SXWRAZ</t>
  </si>
  <si>
    <t>B07D5H35BQ</t>
  </si>
  <si>
    <t>X001SBOXYF</t>
  </si>
  <si>
    <t>B072QD67YB</t>
  </si>
  <si>
    <t>43-REU7-TNMH</t>
  </si>
  <si>
    <t>B071JNTCH3</t>
  </si>
  <si>
    <t>47-5Q7T-1N7Z</t>
  </si>
  <si>
    <t>B0721W3GYS</t>
  </si>
  <si>
    <t>B07FL7F2LP</t>
  </si>
  <si>
    <t>49-2TEC-QEAT</t>
  </si>
  <si>
    <t>B07LH55BPZ</t>
  </si>
  <si>
    <t>49-MN4Q-KWC9</t>
  </si>
  <si>
    <t>X002039T8Z</t>
  </si>
  <si>
    <t>B07DM33G15</t>
  </si>
  <si>
    <t>4B-M6U7-B23P</t>
  </si>
  <si>
    <t>B073W51BC4</t>
  </si>
  <si>
    <t>X001MZHMVD</t>
  </si>
  <si>
    <t>B073P6GWLB</t>
  </si>
  <si>
    <t>4F-HM3I-5VYA</t>
  </si>
  <si>
    <t>B07DLY4BCD</t>
  </si>
  <si>
    <t>4G-BGQ7-ELT0</t>
  </si>
  <si>
    <t>X001TN8YY7</t>
  </si>
  <si>
    <t>B07D5G5Q3Y</t>
  </si>
  <si>
    <t>X001SBOXSV</t>
  </si>
  <si>
    <t>B07DM2YZ7P</t>
  </si>
  <si>
    <t>4J-Q8HW-0YHZ</t>
  </si>
  <si>
    <t>X001SYPRL5</t>
  </si>
  <si>
    <t>B072KNMQ5W</t>
  </si>
  <si>
    <t>4P-66YK-I4LS</t>
  </si>
  <si>
    <t>X001M2TN2R</t>
  </si>
  <si>
    <t>B071GD2BJ1</t>
  </si>
  <si>
    <t>X001I8P33X</t>
  </si>
  <si>
    <t>B07DLXRYQF</t>
  </si>
  <si>
    <t>X001SYI62R</t>
  </si>
  <si>
    <t>B07LH648CQ</t>
  </si>
  <si>
    <t>4V-3JD6-BEME</t>
  </si>
  <si>
    <t>X00203JBFL</t>
  </si>
  <si>
    <t>B07FKT8CC8</t>
  </si>
  <si>
    <t>56-1TR7-L8S8</t>
  </si>
  <si>
    <t>X001U34JJF</t>
  </si>
  <si>
    <t>B07FKM9TB8</t>
  </si>
  <si>
    <t>B07LH63L7L</t>
  </si>
  <si>
    <t>X001U2TQD5</t>
  </si>
  <si>
    <t>B07DM5SKXK</t>
  </si>
  <si>
    <t>5B-PQ3E-YZ3R</t>
  </si>
  <si>
    <t>X001SYHW59</t>
  </si>
  <si>
    <t>B07DM72924</t>
  </si>
  <si>
    <t>5K-J16B-1Y7T</t>
  </si>
  <si>
    <t>X001SYI63B</t>
  </si>
  <si>
    <t>B07FKR2N4Y</t>
  </si>
  <si>
    <t>5M-H6A2-C5M5</t>
  </si>
  <si>
    <t>X001U2U7PB</t>
  </si>
  <si>
    <t>B07DLXM75K</t>
  </si>
  <si>
    <t>X001TN8SHZ</t>
  </si>
  <si>
    <t>B072KQ41KY</t>
  </si>
  <si>
    <t>X001KWX8YN</t>
  </si>
  <si>
    <t>B07DLXYJGG</t>
  </si>
  <si>
    <t>5T-DN85-DPN4</t>
  </si>
  <si>
    <t>X001TN8YYH</t>
  </si>
  <si>
    <t>B07DM6VFK6</t>
  </si>
  <si>
    <t>B073169R8Y</t>
  </si>
  <si>
    <t>X001SYP3CN</t>
  </si>
  <si>
    <t>B07LH6WH9T</t>
  </si>
  <si>
    <t>62-VJQ5-AWH5</t>
  </si>
  <si>
    <t>X002031JHT</t>
  </si>
  <si>
    <r>
      <rPr>
        <b/>
        <sz val="12"/>
        <color indexed="12"/>
        <rFont val="細明體"/>
        <family val="3"/>
        <charset val="136"/>
      </rPr>
      <t>尺寸</t>
    </r>
    <r>
      <rPr>
        <b/>
        <sz val="12"/>
        <color indexed="12"/>
        <rFont val="Arial"/>
        <family val="2"/>
      </rPr>
      <t xml:space="preserve">80MM*70MM*13MM
</t>
    </r>
    <r>
      <rPr>
        <b/>
        <sz val="12"/>
        <color indexed="12"/>
        <rFont val="細明體"/>
        <family val="3"/>
        <charset val="136"/>
      </rPr>
      <t>重量</t>
    </r>
    <r>
      <rPr>
        <b/>
        <sz val="12"/>
        <color indexed="12"/>
        <rFont val="Arial"/>
        <family val="2"/>
      </rPr>
      <t>58g</t>
    </r>
  </si>
  <si>
    <t>B072MFMDB2</t>
  </si>
  <si>
    <t>69-16B9-6W6A</t>
  </si>
  <si>
    <t>X001NBM9AP</t>
  </si>
  <si>
    <t>B072KNW917</t>
  </si>
  <si>
    <t>6L-ARRK-AQZG</t>
  </si>
  <si>
    <t>X001MIIFKR</t>
  </si>
  <si>
    <t>B072Y1WF14</t>
  </si>
  <si>
    <t>X001JTVPOH</t>
  </si>
  <si>
    <t>B071JNNGJZ</t>
  </si>
  <si>
    <t>7F-INXL-THM2</t>
  </si>
  <si>
    <t>X001MIZJAB</t>
  </si>
  <si>
    <t>B07DM2FNJK</t>
  </si>
  <si>
    <t>7F-V53B-UGD3</t>
  </si>
  <si>
    <t>X001TN9MYD</t>
  </si>
  <si>
    <t>B072KWFSR1</t>
  </si>
  <si>
    <t>X001NBFRNL</t>
  </si>
  <si>
    <t>B07FLD3BF9</t>
  </si>
  <si>
    <t>X001U1VUJJ</t>
  </si>
  <si>
    <t>B07DM3KL5D</t>
  </si>
  <si>
    <t>7Q-7IYE-HGA9</t>
  </si>
  <si>
    <t>X001TMWX95</t>
  </si>
  <si>
    <t>B07FKTPWM8</t>
  </si>
  <si>
    <t>001U3ZBP1</t>
  </si>
  <si>
    <t>B072KNXT56</t>
  </si>
  <si>
    <t>X001MIZILB</t>
  </si>
  <si>
    <t>B07317TFTS</t>
  </si>
  <si>
    <t>X001JFD53P</t>
  </si>
  <si>
    <t>B07FL5W9KJ</t>
  </si>
  <si>
    <t>8A-5AVS-1AB1</t>
  </si>
  <si>
    <t>X001U1VUNP</t>
  </si>
  <si>
    <t>B07DLYVD1L</t>
  </si>
  <si>
    <t>8B-HKV8-6TBV</t>
  </si>
  <si>
    <t>X001TN0K2V</t>
  </si>
  <si>
    <t>B07DM3419K</t>
  </si>
  <si>
    <t>8F-TPPE-ICZ7</t>
  </si>
  <si>
    <t>X001TN92O3</t>
  </si>
  <si>
    <t>B07D5FVL8T</t>
  </si>
  <si>
    <t>8L-344B-YDSZ</t>
  </si>
  <si>
    <t>X001SB8JYZ</t>
  </si>
  <si>
    <t>B073142DMY</t>
  </si>
  <si>
    <t>X001JTSRPR</t>
  </si>
  <si>
    <t>B07LH4DHLK</t>
  </si>
  <si>
    <t>8R-L765-92VN</t>
  </si>
  <si>
    <t>X00203A08D</t>
  </si>
  <si>
    <t>B07FKTS151</t>
  </si>
  <si>
    <t>X001U3ZBO7</t>
  </si>
  <si>
    <t>B071G1DR87</t>
  </si>
  <si>
    <t>94-DCTC-MA13</t>
  </si>
  <si>
    <t>X001I7Z6IV</t>
  </si>
  <si>
    <t>B07FKTB96N</t>
  </si>
  <si>
    <t>9J-SFXQ-U8J0</t>
  </si>
  <si>
    <t>X001U3ZBOH</t>
  </si>
  <si>
    <t>B07LH471BD</t>
  </si>
  <si>
    <t>9K-FU3G-JNMK</t>
  </si>
  <si>
    <t>X00203IMZL</t>
  </si>
  <si>
    <t>B07FLYZLYV</t>
  </si>
  <si>
    <t>X001U3AGDX</t>
  </si>
  <si>
    <t>B07FL2LCLS</t>
  </si>
  <si>
    <t>X001U1VUCV</t>
  </si>
  <si>
    <t>B07FKM933V</t>
  </si>
  <si>
    <t>X001U34JIV</t>
  </si>
  <si>
    <t>B072QBYWLB</t>
  </si>
  <si>
    <t>9Y-6L8R-8YHT</t>
  </si>
  <si>
    <t>X001RL9ORH</t>
  </si>
  <si>
    <t>B07311B212</t>
  </si>
  <si>
    <t>9Y-U387-N2E3</t>
  </si>
  <si>
    <t>X001M2TY17</t>
  </si>
  <si>
    <t>B07DM3NFQ1</t>
  </si>
  <si>
    <t>A7-GQB4-WNW4</t>
  </si>
  <si>
    <t>X001SYO0IB</t>
  </si>
  <si>
    <t>B07DM472JF</t>
  </si>
  <si>
    <t>A8-2UJW-BNUW</t>
  </si>
  <si>
    <t>X001SYO0I1</t>
  </si>
  <si>
    <t>B07FL3BW1D</t>
  </si>
  <si>
    <t>AA-SREZ-1CCQ</t>
  </si>
  <si>
    <t>X001U37IL1</t>
  </si>
  <si>
    <t>B07FL1NM7F</t>
  </si>
  <si>
    <t>AI-19YF-NNHE</t>
  </si>
  <si>
    <t>X001U344LX</t>
  </si>
  <si>
    <t>B07F2VM362</t>
  </si>
  <si>
    <t>X001TN740R</t>
  </si>
  <si>
    <t>B072Y1Q25G</t>
  </si>
  <si>
    <t>AZ-AO0H-8L9Y</t>
  </si>
  <si>
    <t>X001SBPBSH</t>
  </si>
  <si>
    <t>B0721TJ4YX</t>
  </si>
  <si>
    <t>B0-EMLS-XBLJ</t>
  </si>
  <si>
    <t>X001MZGPGB</t>
  </si>
  <si>
    <t>B07DM3TXWS</t>
  </si>
  <si>
    <t>B0-JRQH-MO4V</t>
  </si>
  <si>
    <t>X001TNA58Z</t>
  </si>
  <si>
    <r>
      <rPr>
        <sz val="12"/>
        <color theme="1"/>
        <rFont val="新細明體"/>
        <family val="1"/>
        <charset val="136"/>
        <scheme val="minor"/>
      </rPr>
      <t>y</t>
    </r>
    <r>
      <rPr>
        <sz val="12"/>
        <color theme="1"/>
        <rFont val="新細明體"/>
        <family val="1"/>
        <charset val="136"/>
        <scheme val="minor"/>
      </rPr>
      <t xml:space="preserve"> </t>
    </r>
  </si>
  <si>
    <t>B074T7N1RT</t>
  </si>
  <si>
    <t>X001JFBA87</t>
  </si>
  <si>
    <t>B07FKQ7BZC</t>
  </si>
  <si>
    <t>X001U38KXL</t>
  </si>
  <si>
    <t>B07LH62TYH</t>
  </si>
  <si>
    <t>BL-NTP0-3F3M</t>
  </si>
  <si>
    <t>X002031JHJ</t>
  </si>
  <si>
    <t>B07DLX4NLQ</t>
  </si>
  <si>
    <t>CA-BNNA-7E6N</t>
  </si>
  <si>
    <t>X001SYOHCF</t>
  </si>
  <si>
    <t>B07FKTMX41</t>
  </si>
  <si>
    <t>CA-QT2G-HIUQ</t>
  </si>
  <si>
    <t>X001U38KX1</t>
  </si>
  <si>
    <t>B07LH44HND</t>
  </si>
  <si>
    <t>B0856ZJSMN</t>
  </si>
  <si>
    <t>X0020D7HI9</t>
  </si>
  <si>
    <r>
      <rPr>
        <b/>
        <sz val="12"/>
        <color indexed="12"/>
        <rFont val="細明體"/>
        <family val="3"/>
        <charset val="136"/>
      </rPr>
      <t>尺寸</t>
    </r>
    <r>
      <rPr>
        <b/>
        <sz val="12"/>
        <color indexed="12"/>
        <rFont val="Arial"/>
        <family val="2"/>
      </rPr>
      <t xml:space="preserve">140MM*50MM*20MM
</t>
    </r>
    <r>
      <rPr>
        <b/>
        <sz val="12"/>
        <color indexed="12"/>
        <rFont val="細明體"/>
        <family val="3"/>
        <charset val="136"/>
      </rPr>
      <t>重量</t>
    </r>
    <r>
      <rPr>
        <b/>
        <sz val="12"/>
        <color indexed="12"/>
        <rFont val="Arial"/>
        <family val="2"/>
      </rPr>
      <t>57g</t>
    </r>
  </si>
  <si>
    <t>B07FKS39PY</t>
  </si>
  <si>
    <t>X001U3ZBOR</t>
  </si>
  <si>
    <t>B072MH3C8B</t>
  </si>
  <si>
    <t>CL-8R8S-UTJV</t>
  </si>
  <si>
    <t>X001RLAFI9</t>
  </si>
  <si>
    <t>B07316MY4J</t>
  </si>
  <si>
    <t>CR-3GUA-PJI2</t>
  </si>
  <si>
    <t>X001MIZJ4R</t>
  </si>
  <si>
    <t>B07Z9BDL8F</t>
  </si>
  <si>
    <t>D0-BX1K-G3GG</t>
  </si>
  <si>
    <t>X0020D6G9Z</t>
  </si>
  <si>
    <t>B07DM4BFJF</t>
  </si>
  <si>
    <t>D9-6P2P-CLWN</t>
  </si>
  <si>
    <t>X001SXHJTJ</t>
  </si>
  <si>
    <t>B07FKVQ5DH</t>
  </si>
  <si>
    <t>DC-GJ8B-VANR</t>
  </si>
  <si>
    <t>X001U344M7</t>
  </si>
  <si>
    <t>B07FKM95QP</t>
  </si>
  <si>
    <t>X001U344LN</t>
  </si>
  <si>
    <t>B07DM7JDTV</t>
  </si>
  <si>
    <t>DV-PWGK-0SU9</t>
  </si>
  <si>
    <t>X001SYP3CX</t>
  </si>
  <si>
    <t>B07FKM9FW3</t>
  </si>
  <si>
    <t>E0-PWA2-RV4X</t>
  </si>
  <si>
    <t>X001U34QLB</t>
  </si>
  <si>
    <t>B07DMCJ5KQ</t>
  </si>
  <si>
    <t>X001SYI631</t>
  </si>
  <si>
    <t>B072228W58</t>
  </si>
  <si>
    <t>EZ-3NAH-HNXH</t>
  </si>
  <si>
    <t>X001MIQD5V</t>
  </si>
  <si>
    <t>B07LH46GW5</t>
  </si>
  <si>
    <t>F2-MM8H-A7L1</t>
  </si>
  <si>
    <t>X00203IP3F</t>
  </si>
  <si>
    <t>B07DM3PZCR</t>
  </si>
  <si>
    <t>FC-B163-7H6W</t>
  </si>
  <si>
    <t>X001TN86NV</t>
  </si>
  <si>
    <t>B07DM5Y8CG</t>
  </si>
  <si>
    <t>FK-WY5F-U7WB</t>
  </si>
  <si>
    <t>X001SXHKRF</t>
  </si>
  <si>
    <t>B071WYP2VS</t>
  </si>
  <si>
    <t>FS-M2BZ-O62Y</t>
  </si>
  <si>
    <t>X001H8PWJ9</t>
  </si>
  <si>
    <t>EARRING</t>
  </si>
  <si>
    <t>B07DM5M2FK</t>
  </si>
  <si>
    <t>X001SXHJTT</t>
  </si>
  <si>
    <t>B07FL1Q7QM</t>
  </si>
  <si>
    <t>X001U3ACVT</t>
  </si>
  <si>
    <t>B071ZZC7HP</t>
  </si>
  <si>
    <t>GC-KQIQ-8933</t>
  </si>
  <si>
    <t>X001RL5ANT</t>
  </si>
  <si>
    <t>B07F2PP1T2</t>
  </si>
  <si>
    <t>GD-FK32-Q4WQ</t>
  </si>
  <si>
    <t>X001TN77BN</t>
  </si>
  <si>
    <t>B072JTS85R</t>
  </si>
  <si>
    <t>GF-91BG-XIFJ</t>
  </si>
  <si>
    <t>X001RKEMC5</t>
  </si>
  <si>
    <t>B071WKGPC9</t>
  </si>
  <si>
    <t>X001I8CKM5</t>
  </si>
  <si>
    <t>B072MH47P1</t>
  </si>
  <si>
    <t>GJ-SC19-7H9P</t>
  </si>
  <si>
    <t>X001MY7B1Z</t>
  </si>
  <si>
    <t>B07FLCWDGF</t>
  </si>
  <si>
    <t>GT-TM0P-S3E4</t>
  </si>
  <si>
    <t>X001U34JJ5</t>
  </si>
  <si>
    <t>B0721TGY9X</t>
  </si>
  <si>
    <t>B07Q3YNLWJ</t>
  </si>
  <si>
    <t>X001JEWAHD</t>
  </si>
  <si>
    <t>07DM2M1KF</t>
  </si>
  <si>
    <t>GY-RCU0-T2VY</t>
  </si>
  <si>
    <t>X001TN8TIX</t>
  </si>
  <si>
    <t>B07LH4K673</t>
  </si>
  <si>
    <t>HB-QJOK-E9FL</t>
  </si>
  <si>
    <t>X002039P89</t>
  </si>
  <si>
    <t>B07LH62HB2</t>
  </si>
  <si>
    <t>HI-ULJR-3M1L</t>
  </si>
  <si>
    <t>X0020D730L</t>
  </si>
  <si>
    <r>
      <rPr>
        <b/>
        <sz val="12"/>
        <color indexed="12"/>
        <rFont val="細明體"/>
        <family val="3"/>
        <charset val="136"/>
      </rPr>
      <t>尺寸</t>
    </r>
    <r>
      <rPr>
        <b/>
        <sz val="12"/>
        <color indexed="12"/>
        <rFont val="Arial"/>
        <family val="2"/>
      </rPr>
      <t xml:space="preserve">45MM*65MM*8.5MM
</t>
    </r>
    <r>
      <rPr>
        <b/>
        <sz val="12"/>
        <color indexed="12"/>
        <rFont val="細明體"/>
        <family val="3"/>
        <charset val="136"/>
      </rPr>
      <t>重量</t>
    </r>
    <r>
      <rPr>
        <b/>
        <sz val="12"/>
        <color indexed="12"/>
        <rFont val="Arial"/>
        <family val="2"/>
      </rPr>
      <t>26g</t>
    </r>
  </si>
  <si>
    <t>B07FL52X1D</t>
  </si>
  <si>
    <t>B07Q3XS5X8</t>
  </si>
  <si>
    <t>X001U1VUCL</t>
  </si>
  <si>
    <t>B07DM3F17W</t>
  </si>
  <si>
    <t>HZ-GKXD-ML7V</t>
  </si>
  <si>
    <t>X001SYPRLF</t>
  </si>
  <si>
    <t>B072Y29VMY</t>
  </si>
  <si>
    <t>X001SYOUSV</t>
  </si>
  <si>
    <t>B07FL1R3T1</t>
  </si>
  <si>
    <t>X001U3ACUZ</t>
  </si>
  <si>
    <t>B07DM58MSR</t>
  </si>
  <si>
    <t>J6-TNC3-OFOM</t>
  </si>
  <si>
    <t>001TN7WWH</t>
  </si>
  <si>
    <t>B07FL3BT33</t>
  </si>
  <si>
    <t>X001U3ACV9</t>
  </si>
  <si>
    <t>B071WKHBJF</t>
  </si>
  <si>
    <t>JB-ZJIT-3SK8</t>
  </si>
  <si>
    <t>X001RL5GH9</t>
  </si>
  <si>
    <t>B07LH4L5P4</t>
  </si>
  <si>
    <t>JP-ZLWL-E3S1</t>
  </si>
  <si>
    <t>X00203IR5L</t>
  </si>
  <si>
    <t>B07F2N3W9P</t>
  </si>
  <si>
    <t>JR-Z39A-EBME</t>
  </si>
  <si>
    <t>001TN0O4P</t>
  </si>
  <si>
    <t>B071ZZGNMV</t>
  </si>
  <si>
    <t>K3-Q9M1-03NV</t>
  </si>
  <si>
    <t>X001RL8VNP</t>
  </si>
  <si>
    <t>X001JFEHHX</t>
  </si>
  <si>
    <t>B07LH521JJ</t>
  </si>
  <si>
    <t>KK-RVIC-8TC9</t>
  </si>
  <si>
    <t>X00203J2L9</t>
  </si>
  <si>
    <t>B07F2LBC51</t>
  </si>
  <si>
    <t>KT-GN9G-5DQ9</t>
  </si>
  <si>
    <t>X001TN740H</t>
  </si>
  <si>
    <t>B07FKMB2DS</t>
  </si>
  <si>
    <t>KV-3UD1-OPEQ</t>
  </si>
  <si>
    <t>X001U38KXB</t>
  </si>
  <si>
    <t>B072XYLZ1P</t>
  </si>
  <si>
    <t>X001MY76WT</t>
  </si>
  <si>
    <t>B071XM5BSW</t>
  </si>
  <si>
    <t>L8-3KFZ-RPV3</t>
  </si>
  <si>
    <t>X001JFE42V</t>
  </si>
  <si>
    <t>B071G1DNBX</t>
  </si>
  <si>
    <t>LJ-6R8G-3MUZ</t>
  </si>
  <si>
    <t>X001I972XB</t>
  </si>
  <si>
    <t>B07DM2R1TK</t>
  </si>
  <si>
    <t>LJ-WBN2-F0BZ</t>
  </si>
  <si>
    <t>X001SYPRM9</t>
  </si>
  <si>
    <t>B07LH4B191</t>
  </si>
  <si>
    <t>M1-44PI-OOOZ</t>
  </si>
  <si>
    <t>X00203IJ8B</t>
  </si>
  <si>
    <t>B07FKRWDQX</t>
  </si>
  <si>
    <t>M1-QIF5-9N3R</t>
  </si>
  <si>
    <t>X001U3ACVJ</t>
  </si>
  <si>
    <t>B07DM2BMHW</t>
  </si>
  <si>
    <t>M4-9K11-HV3K</t>
  </si>
  <si>
    <t>X001SYI6M7</t>
  </si>
  <si>
    <t>B07DM4969S</t>
  </si>
  <si>
    <t>M6-9K7D-83IA</t>
  </si>
  <si>
    <t>X001SXHKR5</t>
  </si>
  <si>
    <t>B073W5CWY5</t>
  </si>
  <si>
    <t>X0029B4M2B</t>
  </si>
  <si>
    <t>B08576QH8W</t>
  </si>
  <si>
    <t>B07LH6XWGC</t>
  </si>
  <si>
    <t>ME-CVWN-GVKB</t>
  </si>
  <si>
    <t>X00203K3DF</t>
  </si>
  <si>
    <r>
      <rPr>
        <b/>
        <sz val="12"/>
        <color indexed="12"/>
        <rFont val="細明體"/>
        <family val="3"/>
        <charset val="136"/>
      </rPr>
      <t>尺寸</t>
    </r>
    <r>
      <rPr>
        <b/>
        <sz val="12"/>
        <color indexed="12"/>
        <rFont val="Arial"/>
        <family val="2"/>
      </rPr>
      <t xml:space="preserve">45MM*65MM*12MM
</t>
    </r>
    <r>
      <rPr>
        <b/>
        <sz val="12"/>
        <color indexed="12"/>
        <rFont val="細明體"/>
        <family val="3"/>
        <charset val="136"/>
      </rPr>
      <t>重量</t>
    </r>
    <r>
      <rPr>
        <b/>
        <sz val="12"/>
        <color indexed="12"/>
        <rFont val="Arial"/>
        <family val="2"/>
      </rPr>
      <t>48g</t>
    </r>
  </si>
  <si>
    <t>B072MFNB36</t>
  </si>
  <si>
    <t>MF-QH9E-5624</t>
  </si>
  <si>
    <t>X001I9BCRX</t>
  </si>
  <si>
    <t>B07DM7XHM9</t>
  </si>
  <si>
    <t>X001SXWRC3</t>
  </si>
  <si>
    <t>B07LH6KCQ6</t>
  </si>
  <si>
    <t>X00203AQ9V</t>
  </si>
  <si>
    <t>B071KG4NJ8</t>
  </si>
  <si>
    <t>MP-N3MM-GOKC</t>
  </si>
  <si>
    <t>X001MIZIVL</t>
  </si>
  <si>
    <t>B07DLYBQJQ</t>
  </si>
  <si>
    <t>MX-D9IS-ZPS4</t>
  </si>
  <si>
    <t>X001SYI6MH</t>
  </si>
  <si>
    <t>B072VPHFNX</t>
  </si>
  <si>
    <t>X001M2TEIF</t>
  </si>
  <si>
    <t>B072ZVDFPH</t>
  </si>
  <si>
    <t>NA-YQM8-1J6C</t>
  </si>
  <si>
    <t>X001M2TMSR</t>
  </si>
  <si>
    <t>B071JZ7869</t>
  </si>
  <si>
    <t>X002A6OT7D</t>
  </si>
  <si>
    <t>B07DM4167H</t>
  </si>
  <si>
    <t>NW-W2VN-FGP6</t>
  </si>
  <si>
    <t>X001TN8TIN</t>
  </si>
  <si>
    <t>B07DM2SF7P</t>
  </si>
  <si>
    <t>NZ-PGCY-J9CD</t>
  </si>
  <si>
    <t>X001SYOUT5</t>
  </si>
  <si>
    <t>B07LH7KN9K</t>
  </si>
  <si>
    <t>X00203ARGD</t>
  </si>
  <si>
    <t>B07LH6HRJQ</t>
  </si>
  <si>
    <t>OI-I9MT-7FKL</t>
  </si>
  <si>
    <t>X002039W9L</t>
  </si>
  <si>
    <t>B07DM46P8P</t>
  </si>
  <si>
    <t>OK-57KC-VJYA</t>
  </si>
  <si>
    <t>X001SYI6LN</t>
  </si>
  <si>
    <t>B07FLXYS6S</t>
  </si>
  <si>
    <t>OK-6CD0-PPYA</t>
  </si>
  <si>
    <t>X001U1VUOJ</t>
  </si>
  <si>
    <t>B07FL52X1C</t>
  </si>
  <si>
    <t>X001U37ILV</t>
  </si>
  <si>
    <t>B07FKXZCV6</t>
  </si>
  <si>
    <t>P8-BRBA-CNNI</t>
  </si>
  <si>
    <t>X001U3VXVR</t>
  </si>
  <si>
    <t>B07FKQWS3J</t>
  </si>
  <si>
    <t>001U3AGDD</t>
  </si>
  <si>
    <t>B072MFMQCB</t>
  </si>
  <si>
    <t>PO-FWWE-KU2O</t>
  </si>
  <si>
    <t>X001N45GGV</t>
  </si>
  <si>
    <t>B07Q1JLLRP</t>
  </si>
  <si>
    <t>PZ-4YFU-6J5E</t>
  </si>
  <si>
    <t>X001SYOUTF</t>
  </si>
  <si>
    <t>B07DLWW56F</t>
  </si>
  <si>
    <t>Q2-J1FE-7XCM</t>
  </si>
  <si>
    <t>X001SYI76H</t>
  </si>
  <si>
    <t>B072VNT57Y</t>
  </si>
  <si>
    <t>X001MJ2Y0N</t>
  </si>
  <si>
    <t>B072ZYGP5P</t>
  </si>
  <si>
    <t>QF-OY0M-N30R</t>
  </si>
  <si>
    <t>X001RLB259</t>
  </si>
  <si>
    <t>B07LH48HYN</t>
  </si>
  <si>
    <t>QG-6NAW-23B2</t>
  </si>
  <si>
    <t>X002039QAV</t>
  </si>
  <si>
    <t>B07DM414ZN</t>
  </si>
  <si>
    <t>QG-HPDO-BJCZ</t>
  </si>
  <si>
    <t>X001SYR2Y5</t>
  </si>
  <si>
    <t>B07DM52KK4</t>
  </si>
  <si>
    <t>QH-BPPC-H6MT</t>
  </si>
  <si>
    <t>X001SYOHCP</t>
  </si>
  <si>
    <t>B07FKR2DJW</t>
  </si>
  <si>
    <t>X001U2TQDP</t>
  </si>
  <si>
    <t>B07F2NXN16</t>
  </si>
  <si>
    <t>QI-Y71V-MGEC</t>
  </si>
  <si>
    <t>X001TN877L</t>
  </si>
  <si>
    <t>B072ZTS4JP</t>
  </si>
  <si>
    <t>X001MIIFON</t>
  </si>
  <si>
    <t>B07DM4DKLB</t>
  </si>
  <si>
    <t>QR-36SF-XG96</t>
  </si>
  <si>
    <t>X001SYO0IV</t>
  </si>
  <si>
    <t>B072VNLGFL</t>
  </si>
  <si>
    <t>X001RL3ZM7</t>
  </si>
  <si>
    <t>B07VQKSCG1</t>
  </si>
  <si>
    <t>X001U2U7P1</t>
  </si>
  <si>
    <t>B07DLXF5Y8</t>
  </si>
  <si>
    <t>RA-LY4S-5AD6</t>
  </si>
  <si>
    <t>X001SXWJXZ</t>
  </si>
  <si>
    <t>B07FL4QQN5</t>
  </si>
  <si>
    <t>X001U3VXV7</t>
  </si>
  <si>
    <t>B0721DS8TH</t>
  </si>
  <si>
    <t>X001I9BCRN</t>
  </si>
  <si>
    <t>B07LH5WN24</t>
  </si>
  <si>
    <t>X002031IOD</t>
  </si>
  <si>
    <t>B07FKMB91Z</t>
  </si>
  <si>
    <t>X001U344MH</t>
  </si>
  <si>
    <t>B07DLXL8RP</t>
  </si>
  <si>
    <t>X001SXHKRP</t>
  </si>
  <si>
    <t>B07DM2VHV2</t>
  </si>
  <si>
    <t>SL-YEEZ-2V3L</t>
  </si>
  <si>
    <t>X001SYI6MR</t>
  </si>
  <si>
    <t>B071JM935K</t>
  </si>
  <si>
    <t>SN-TAFL-EHNZ</t>
  </si>
  <si>
    <t>X001I80LB7</t>
  </si>
  <si>
    <t>B07DM75BNZ</t>
  </si>
  <si>
    <t>X001SYHW4Z</t>
  </si>
  <si>
    <t>B07FL3BVRN</t>
  </si>
  <si>
    <t>X001U2TQDF</t>
  </si>
  <si>
    <t>B07FKS2K99</t>
  </si>
  <si>
    <t>X001U3VXVH</t>
  </si>
  <si>
    <t>B072ZWQG64</t>
  </si>
  <si>
    <t>X001JTMWJJ</t>
  </si>
  <si>
    <t>B07FKRZ2HV</t>
  </si>
  <si>
    <t>TG-MXOJ-ASZM</t>
  </si>
  <si>
    <t>X001U1VUNZ</t>
  </si>
  <si>
    <t>B07DM6MGNP</t>
  </si>
  <si>
    <t>TM-LQUX-MQPF</t>
  </si>
  <si>
    <t>X001SXWRBJ</t>
  </si>
  <si>
    <t>B07DM5TY1C</t>
  </si>
  <si>
    <t>TO-5QQO-K2QY</t>
  </si>
  <si>
    <t>X001SYP3C3</t>
  </si>
  <si>
    <t>B07FKM9SYD</t>
  </si>
  <si>
    <t>X001U33WO3</t>
  </si>
  <si>
    <t>B07F2YDNFB</t>
  </si>
  <si>
    <t>UH-NWGW-KH8P</t>
  </si>
  <si>
    <t>X001TMWHGT</t>
  </si>
  <si>
    <t>B07DM7F39Q</t>
  </si>
  <si>
    <t>UI-EHA0-UMFN</t>
  </si>
  <si>
    <t>X001SXWRB9</t>
  </si>
  <si>
    <t>B071GFJDXN</t>
  </si>
  <si>
    <t>X001MJ4FVJ</t>
  </si>
  <si>
    <t>X002H5XSVZ</t>
  </si>
  <si>
    <t>B07VQKTQBT</t>
  </si>
  <si>
    <t>X0029CVVV5</t>
  </si>
  <si>
    <t>B07VMH46R5</t>
  </si>
  <si>
    <t>X00297IW1R</t>
  </si>
  <si>
    <t>X00251UY45</t>
  </si>
  <si>
    <t>B07VLBQ6PV</t>
  </si>
  <si>
    <t>B071KK5NM5</t>
  </si>
  <si>
    <t>X00298GLA5</t>
  </si>
  <si>
    <t>B07VNK9XZB</t>
  </si>
  <si>
    <t>X00297IM0X</t>
  </si>
  <si>
    <t>B07VPMZLJ7</t>
  </si>
  <si>
    <t>X0029B4M21</t>
  </si>
  <si>
    <t>B07VQRZ4NV</t>
  </si>
  <si>
    <t>X00298GL9V</t>
  </si>
  <si>
    <t>B07VQRYC49</t>
  </si>
  <si>
    <t>X00297IVGX</t>
  </si>
  <si>
    <t>B07WG1LM8Q</t>
  </si>
  <si>
    <t>X002A0A29N</t>
  </si>
  <si>
    <t>B0855Z865V</t>
  </si>
  <si>
    <t>X002H5PLND</t>
  </si>
  <si>
    <t>B07Y9PXWHT</t>
  </si>
  <si>
    <t>UNYCB008CL</t>
  </si>
  <si>
    <t>X002BSIRXH</t>
  </si>
  <si>
    <t>B07Y9PGWRP</t>
  </si>
  <si>
    <t>UNYCB008PU</t>
  </si>
  <si>
    <t>X002BSGIO7</t>
  </si>
  <si>
    <t>B07Z928PCS</t>
  </si>
  <si>
    <t>UNYCB009BL</t>
  </si>
  <si>
    <t>X002CK78RF</t>
  </si>
  <si>
    <t>B07Z95RJYD</t>
  </si>
  <si>
    <t>UNYCB009CL</t>
  </si>
  <si>
    <t>X002CK84PF</t>
  </si>
  <si>
    <t>B07Z98299M</t>
  </si>
  <si>
    <t>UNYCB0102TBL</t>
  </si>
  <si>
    <t>X002CK6RYF</t>
  </si>
  <si>
    <t>B07Z97Q486</t>
  </si>
  <si>
    <t>UNYCB010BL</t>
  </si>
  <si>
    <t>X002CK6UAV</t>
  </si>
  <si>
    <t>B07Z94V1Q5</t>
  </si>
  <si>
    <t>X002CK7ZOL</t>
  </si>
  <si>
    <t>B07Z98SVQV</t>
  </si>
  <si>
    <t>X002CK745V</t>
  </si>
  <si>
    <t>X002CK6T43</t>
  </si>
  <si>
    <t>B07Z9BT64Q</t>
  </si>
  <si>
    <t>UNYCB013BL</t>
  </si>
  <si>
    <t>X002CK7FK5</t>
  </si>
  <si>
    <t>B07Z9CBC5H</t>
  </si>
  <si>
    <t>UNYCB013CL</t>
  </si>
  <si>
    <t>X002CK7587</t>
  </si>
  <si>
    <t>B07Z9DR6JX</t>
  </si>
  <si>
    <t>UNYCB014BL</t>
  </si>
  <si>
    <t>X002CK73UH</t>
  </si>
  <si>
    <t>B07Z9D5T6J</t>
  </si>
  <si>
    <t>UNYCB014CL</t>
  </si>
  <si>
    <t>X002CK7NCF</t>
  </si>
  <si>
    <t>B07Z9DXP5B</t>
  </si>
  <si>
    <t>X002CK84PP</t>
  </si>
  <si>
    <t>B07Z9DYZNQ</t>
  </si>
  <si>
    <t>X002CK6T4D</t>
  </si>
  <si>
    <t>B085773JHM</t>
  </si>
  <si>
    <t>UNYCB017</t>
  </si>
  <si>
    <t>X002H5PLNN</t>
  </si>
  <si>
    <t>X002H5XXI3</t>
  </si>
  <si>
    <t>B07VRP3WW3</t>
  </si>
  <si>
    <t>X0029A58MP</t>
  </si>
  <si>
    <t>B07QL59PZQ</t>
  </si>
  <si>
    <t>B07WH4Q951</t>
  </si>
  <si>
    <t>UNYDE002G</t>
  </si>
  <si>
    <t>X002A3I6DJ</t>
  </si>
  <si>
    <t>B07RH95BTF</t>
  </si>
  <si>
    <t>B07WJ7S6JH</t>
  </si>
  <si>
    <t>UNYDE002S</t>
  </si>
  <si>
    <t>X002A6PMBF</t>
  </si>
  <si>
    <t>B07VQGRD4D</t>
  </si>
  <si>
    <t>X00296BL93</t>
  </si>
  <si>
    <t>B07ZRKBHLG</t>
  </si>
  <si>
    <t>X002D2JCCL</t>
  </si>
  <si>
    <t>B07ZRJVYQW</t>
  </si>
  <si>
    <t>UNYJS002BL</t>
  </si>
  <si>
    <t>X002D2I1CN</t>
  </si>
  <si>
    <t>B07ZRKMMZC</t>
  </si>
  <si>
    <t>UNYJS002CL</t>
  </si>
  <si>
    <t>X002D2JBHH</t>
  </si>
  <si>
    <t>B07ZRK7FQ2</t>
  </si>
  <si>
    <t>UNYJS002PU</t>
  </si>
  <si>
    <t>X002D2JCDF</t>
  </si>
  <si>
    <t>B07ZSHP835</t>
  </si>
  <si>
    <t>X002D2I1CX</t>
  </si>
  <si>
    <t>B07ZSHNGH2</t>
  </si>
  <si>
    <t>UNYJS003BL</t>
  </si>
  <si>
    <t>X002D2JBH7</t>
  </si>
  <si>
    <t>B07ZST236M</t>
  </si>
  <si>
    <t>UNYJS003CH</t>
  </si>
  <si>
    <t>X002D2JCCV</t>
  </si>
  <si>
    <t>B07ZSJWR3H</t>
  </si>
  <si>
    <t>UNYJS003CL</t>
  </si>
  <si>
    <t>X002D2I1CD</t>
  </si>
  <si>
    <t>B07ZSJD9LZ</t>
  </si>
  <si>
    <t>UNYJS003RD</t>
  </si>
  <si>
    <t>X002D2JBI1</t>
  </si>
  <si>
    <t>B07QM2HYGT</t>
  </si>
  <si>
    <t>X002487W71</t>
  </si>
  <si>
    <t>B07QQB1X2H</t>
  </si>
  <si>
    <t>UNYLB0022T</t>
  </si>
  <si>
    <t>X002487WQ7</t>
  </si>
  <si>
    <t>X00243G54R</t>
  </si>
  <si>
    <t>UNYLB003</t>
  </si>
  <si>
    <t>X00253M1R1</t>
  </si>
  <si>
    <t>B0855JCQC5</t>
  </si>
  <si>
    <t>X002H5SPGX</t>
  </si>
  <si>
    <t>B07Y4HKV9F</t>
  </si>
  <si>
    <t>UNYLB006M2T</t>
  </si>
  <si>
    <t>X002BSJ1FF</t>
  </si>
  <si>
    <t>B07Y4SSTS3</t>
  </si>
  <si>
    <t>X002BSHYTF</t>
  </si>
  <si>
    <t>B07Y4T2GPF</t>
  </si>
  <si>
    <t>X002BSIRX7</t>
  </si>
  <si>
    <t>B07ZPRJPW7</t>
  </si>
  <si>
    <t>X002DQ9RNB</t>
  </si>
  <si>
    <t>B07QM9KGZ5</t>
  </si>
  <si>
    <t>X00244I2AL</t>
  </si>
  <si>
    <t>B07ZPQCYND</t>
  </si>
  <si>
    <t>UNYLN002SS</t>
  </si>
  <si>
    <t>X002DQ9RN1</t>
  </si>
  <si>
    <t>B07RH9YSPV</t>
  </si>
  <si>
    <t>UNYLN003</t>
  </si>
  <si>
    <t>X00253P0OH</t>
  </si>
  <si>
    <t>B07VNF5PZY</t>
  </si>
  <si>
    <t>X0029836W1</t>
  </si>
  <si>
    <t>B07PZDMWQC</t>
  </si>
  <si>
    <t>X0023TL0PL</t>
  </si>
  <si>
    <t>B07PX3G79Z</t>
  </si>
  <si>
    <t>X0023MLQST</t>
  </si>
  <si>
    <t>X0023MLQTD</t>
  </si>
  <si>
    <t>B07NRR1T2H</t>
  </si>
  <si>
    <t>X0023QQK95</t>
  </si>
  <si>
    <t>B07NRR2KM2</t>
  </si>
  <si>
    <t>UNYR00111</t>
  </si>
  <si>
    <t>X0023SNACN</t>
  </si>
  <si>
    <t>B07Q3WYJP4</t>
  </si>
  <si>
    <t>X0023UC9O1</t>
  </si>
  <si>
    <t>B07NSJC87Z</t>
  </si>
  <si>
    <t>X0023ROXED</t>
  </si>
  <si>
    <t>UNYR002BLK11</t>
  </si>
  <si>
    <t>X0023UD4XB</t>
  </si>
  <si>
    <t>B089T39M46</t>
  </si>
  <si>
    <t>UNYR002CL009</t>
  </si>
  <si>
    <t>X002JMBR41</t>
  </si>
  <si>
    <t>B07Q3XZ25B</t>
  </si>
  <si>
    <t>UNYR002CL05</t>
  </si>
  <si>
    <t>X0023SN0NH</t>
  </si>
  <si>
    <t>UNYR002CL10</t>
  </si>
  <si>
    <t>X0023UBD3T</t>
  </si>
  <si>
    <t>B07Q32Q2D2</t>
  </si>
  <si>
    <t>UNYR002CL11</t>
  </si>
  <si>
    <t>X0023UCIEH</t>
  </si>
  <si>
    <t>UNYR002PU07</t>
  </si>
  <si>
    <t>X00298SJ23</t>
  </si>
  <si>
    <t>B07Q4QBN57</t>
  </si>
  <si>
    <t>UNYR003BLK06</t>
  </si>
  <si>
    <t>X0023PQLSV</t>
  </si>
  <si>
    <t>B07Q83P3P9</t>
  </si>
  <si>
    <t>UNYR003BLK07</t>
  </si>
  <si>
    <t>X0023PQJPB</t>
  </si>
  <si>
    <t>B07Q6Z3SPD</t>
  </si>
  <si>
    <t>UNYR003BLK08</t>
  </si>
  <si>
    <t>X0023RKQL7</t>
  </si>
  <si>
    <t>B07Q8V7ZRL</t>
  </si>
  <si>
    <t>UNYR003BLK09</t>
  </si>
  <si>
    <t>X0023PQLSL</t>
  </si>
  <si>
    <t>B07Q6Z4FNM</t>
  </si>
  <si>
    <t>UNYR003CL06</t>
  </si>
  <si>
    <t>X0023SIDYN</t>
  </si>
  <si>
    <t>B07Q8VYVKW</t>
  </si>
  <si>
    <t>UNYR003CL07</t>
  </si>
  <si>
    <t>X0023RKL53</t>
  </si>
  <si>
    <t>B07Q3S32HL</t>
  </si>
  <si>
    <t>UNYR003CL08</t>
  </si>
  <si>
    <t>X0023QLTH3</t>
  </si>
  <si>
    <t>B07Q83T5G2</t>
  </si>
  <si>
    <t>UNYR003CL09</t>
  </si>
  <si>
    <t>X0023SIDZ7</t>
  </si>
  <si>
    <t>B07Q3S2726</t>
  </si>
  <si>
    <t>UNYR004BLK06</t>
  </si>
  <si>
    <t>X0023OPOJ9</t>
  </si>
  <si>
    <t>B07Q4QCNY4</t>
  </si>
  <si>
    <t>UNYR004BLK07</t>
  </si>
  <si>
    <t>X0023PQJPL</t>
  </si>
  <si>
    <t>B07Q5TRJNQ</t>
  </si>
  <si>
    <t>UNYR004BLK08</t>
  </si>
  <si>
    <t>X0023PQLTF</t>
  </si>
  <si>
    <t>B07Q8WHLLH</t>
  </si>
  <si>
    <t>UNYR004BLK09</t>
  </si>
  <si>
    <t>X0023O38A1</t>
  </si>
  <si>
    <t>B07Q6YYXVG</t>
  </si>
  <si>
    <t>UNYR004CL06</t>
  </si>
  <si>
    <t>X0023RKL5N</t>
  </si>
  <si>
    <t>B07Q6Z3V1F</t>
  </si>
  <si>
    <t>X0023RKL5X</t>
  </si>
  <si>
    <t>B07Q5TQG66</t>
  </si>
  <si>
    <t>UNYR004CL08</t>
  </si>
  <si>
    <t>X0023PQXLL</t>
  </si>
  <si>
    <t>B07Q6Z39K9</t>
  </si>
  <si>
    <t>UNYR004CL09</t>
  </si>
  <si>
    <t>X0023SIDYX</t>
  </si>
  <si>
    <t>B07Q8WBSSR</t>
  </si>
  <si>
    <t>UNYR005BLK06</t>
  </si>
  <si>
    <t>X0023O37IJ</t>
  </si>
  <si>
    <t>B07Q83SSVN</t>
  </si>
  <si>
    <t>UNYR005BLK08</t>
  </si>
  <si>
    <t>X0023RKO7X</t>
  </si>
  <si>
    <t>B07Q5TQ8V9</t>
  </si>
  <si>
    <t>UNYR005BLK09</t>
  </si>
  <si>
    <t>X0023TFEOJ</t>
  </si>
  <si>
    <t>B07Q83SGKC</t>
  </si>
  <si>
    <t>UNYR005CL06</t>
  </si>
  <si>
    <t>X0023RKO8R</t>
  </si>
  <si>
    <t>B07Q3S34PW</t>
  </si>
  <si>
    <t>UNYR005CL07</t>
  </si>
  <si>
    <t>X0023TFEO9</t>
  </si>
  <si>
    <t>B07Q5TSLR9</t>
  </si>
  <si>
    <t>UNYR005CL08</t>
  </si>
  <si>
    <t>X0023RKMQB</t>
  </si>
  <si>
    <t>B07Q5TQNKV</t>
  </si>
  <si>
    <t>UNYR005CL09</t>
  </si>
  <si>
    <t>X0023RKO87</t>
  </si>
  <si>
    <t>B07Q8VYTGC</t>
  </si>
  <si>
    <t>UNYR006BLK06</t>
  </si>
  <si>
    <t>X0023RKQLH</t>
  </si>
  <si>
    <t>B07Q5TRDRM</t>
  </si>
  <si>
    <t>UNYR006BLK07</t>
  </si>
  <si>
    <t>X0023RKMQ1</t>
  </si>
  <si>
    <t>B07Q83SX8Q</t>
  </si>
  <si>
    <t>UNYR006BLK08</t>
  </si>
  <si>
    <t>X0023PQXLB</t>
  </si>
  <si>
    <t>B07Q3S3JCP</t>
  </si>
  <si>
    <t>UNYR006BLK09</t>
  </si>
  <si>
    <t>X0023PQLT5</t>
  </si>
  <si>
    <t>B07Q5TQHTF</t>
  </si>
  <si>
    <t>UNYR006CL06</t>
  </si>
  <si>
    <t>X0023QLTHD</t>
  </si>
  <si>
    <t>B07Q3S3K9F</t>
  </si>
  <si>
    <t>UNYR006CL07</t>
  </si>
  <si>
    <t>X0023QLTGT</t>
  </si>
  <si>
    <t>B07Q3S3K4V</t>
  </si>
  <si>
    <t>UNYR006CL08</t>
  </si>
  <si>
    <t>X0023SIDYD</t>
  </si>
  <si>
    <t>B07Q5TRGQB</t>
  </si>
  <si>
    <t>UNYR006CL09</t>
  </si>
  <si>
    <t>X0023O389R</t>
  </si>
  <si>
    <t>B07VNGGSNB</t>
  </si>
  <si>
    <t>UNYR00706</t>
  </si>
  <si>
    <t>X002982695</t>
  </si>
  <si>
    <t>B08DC95LYV</t>
  </si>
  <si>
    <t>X002L9NJON</t>
  </si>
  <si>
    <t>B07VQJTKZC</t>
  </si>
  <si>
    <t>X00296BM7T</t>
  </si>
  <si>
    <t xml:space="preserve">UP-ITS2-FJHV </t>
  </si>
  <si>
    <t>X001KXCL13</t>
  </si>
  <si>
    <t>B072FQSDDR</t>
  </si>
  <si>
    <t>US-7Q7B-S05P</t>
  </si>
  <si>
    <t>X001I8R0LL</t>
  </si>
  <si>
    <t>B07LH588BG</t>
  </si>
  <si>
    <t>X0020062JR</t>
  </si>
  <si>
    <t>B07FKYTHK3</t>
  </si>
  <si>
    <t>X001U2U7OR</t>
  </si>
  <si>
    <t>B071ZZHG8V</t>
  </si>
  <si>
    <t>V1-FI9L-W65L</t>
  </si>
  <si>
    <t>X001I8P8BF</t>
  </si>
  <si>
    <t>B07DM43QPM</t>
  </si>
  <si>
    <t>V8-YZMP-BSYW</t>
  </si>
  <si>
    <t>X001TN15YN</t>
  </si>
  <si>
    <t>B07LH5W7B8</t>
  </si>
  <si>
    <t>VD-N7BW-1VM7</t>
  </si>
  <si>
    <t>X002005D0L</t>
  </si>
  <si>
    <t>B071KFY98F</t>
  </si>
  <si>
    <t>X001M2ASQ7</t>
  </si>
  <si>
    <t>B07DM68J1R</t>
  </si>
  <si>
    <t>VN-WRF5-WYB6</t>
  </si>
  <si>
    <t>X001SXWRKF</t>
  </si>
  <si>
    <t>B07FL6GS9R</t>
  </si>
  <si>
    <t>VO-EF0S-QYAQ</t>
  </si>
  <si>
    <t>X001U2U7PL</t>
  </si>
  <si>
    <t>B072MH5Q9S</t>
  </si>
  <si>
    <t>VV-2FZI-PELR</t>
  </si>
  <si>
    <t>X001SYR2YZ</t>
  </si>
  <si>
    <t>B07DM46TYZ</t>
  </si>
  <si>
    <t>VX-7I3H-X6GA</t>
  </si>
  <si>
    <t>X001SXHJT9</t>
  </si>
  <si>
    <t>B07DM3R5LF</t>
  </si>
  <si>
    <t>W9-O8HY-GYED</t>
  </si>
  <si>
    <t>X001SXHJSP</t>
  </si>
  <si>
    <t>B07DLXY3Z6</t>
  </si>
  <si>
    <t>X001SYI76R</t>
  </si>
  <si>
    <t>B072RCWKPJ</t>
  </si>
  <si>
    <t>WF-CO66-SGMI</t>
  </si>
  <si>
    <t>X001NBOQ9R</t>
  </si>
  <si>
    <t>B07DM3MJ7T</t>
  </si>
  <si>
    <t>WK-LV4Z-RD90</t>
  </si>
  <si>
    <t>X001SXHJSZ</t>
  </si>
  <si>
    <t>B07DM442HH</t>
  </si>
  <si>
    <t>WX-V1AH-585V</t>
  </si>
  <si>
    <t>X001SYIION</t>
  </si>
  <si>
    <t>B07DM3Q5H8</t>
  </si>
  <si>
    <t>X1-32VA-G908</t>
  </si>
  <si>
    <t>X001SYPRKV</t>
  </si>
  <si>
    <t>B07DM3YYRY</t>
  </si>
  <si>
    <t>X2-D5JB-11WI</t>
  </si>
  <si>
    <t>X001TN7X49</t>
  </si>
  <si>
    <t>X3-QWB7-AL9Z</t>
  </si>
  <si>
    <t>001U37ILL</t>
  </si>
  <si>
    <t>B072MR1SW2</t>
  </si>
  <si>
    <t>X001I972XL</t>
  </si>
  <si>
    <t>B07FKP8G59</t>
  </si>
  <si>
    <t>XU-OQ1A-XGRA</t>
  </si>
  <si>
    <t>X001U37ILB</t>
  </si>
  <si>
    <t>B072VLB7B1</t>
  </si>
  <si>
    <t>X001M1ZQ0V</t>
  </si>
  <si>
    <t>B07DLX63B3</t>
  </si>
  <si>
    <t>X001SYI767</t>
  </si>
  <si>
    <t>B072XY8P3K</t>
  </si>
  <si>
    <t>X001RL5AS9</t>
  </si>
  <si>
    <t>B089LTG47G</t>
  </si>
  <si>
    <t>YO-ARU5-4E9C</t>
  </si>
  <si>
    <t>X002TKXROV</t>
  </si>
  <si>
    <t>B07F2QC7W2</t>
  </si>
  <si>
    <t>YT-Z657-6WTL</t>
  </si>
  <si>
    <t>X001TN77GX</t>
  </si>
  <si>
    <t>B089M6S32N</t>
  </si>
  <si>
    <t>X002TKRCBP</t>
  </si>
  <si>
    <t xml:space="preserve">Y </t>
  </si>
  <si>
    <t>B072XZSP98</t>
  </si>
  <si>
    <t>X001SYHW5J</t>
  </si>
  <si>
    <t>072Y31NGY</t>
  </si>
  <si>
    <t>ZF-0G13-LICS</t>
  </si>
  <si>
    <t>X001MJ3YXJ</t>
  </si>
  <si>
    <t>B07Q4QCWC1</t>
  </si>
  <si>
    <t>ZUNYR005BLK07</t>
  </si>
  <si>
    <t>X0023RKL5D</t>
  </si>
  <si>
    <t>B07DM3D6P8</t>
  </si>
  <si>
    <t>ZY-2N6C-ET6I</t>
  </si>
  <si>
    <t>X001SYPRMJ</t>
  </si>
  <si>
    <t>B08L5BCPTS</t>
  </si>
  <si>
    <t>UNYCB026</t>
  </si>
  <si>
    <t>UNYCB027</t>
  </si>
  <si>
    <t>UNYCB028</t>
  </si>
  <si>
    <t>UNYSJ008</t>
    <phoneticPr fontId="27" type="noConversion"/>
  </si>
  <si>
    <t>UNYSJ009G</t>
    <phoneticPr fontId="27" type="noConversion"/>
  </si>
  <si>
    <t>UNYSJ009S</t>
    <phoneticPr fontId="27" type="noConversion"/>
  </si>
  <si>
    <t>UNYSJ010</t>
    <phoneticPr fontId="27" type="noConversion"/>
  </si>
  <si>
    <t>UNYSJ011</t>
    <phoneticPr fontId="27" type="noConversion"/>
  </si>
  <si>
    <t>UNYSJ012</t>
    <phoneticPr fontId="27" type="noConversion"/>
  </si>
  <si>
    <t>UNYSJ013</t>
    <phoneticPr fontId="27" type="noConversion"/>
  </si>
  <si>
    <t>B09FL3M7BD</t>
  </si>
  <si>
    <t>B09FXGD5MF</t>
  </si>
  <si>
    <t>B09FXC2JQS</t>
  </si>
  <si>
    <t>B09FX2D3J7</t>
  </si>
  <si>
    <t>B09FXSL7GG</t>
  </si>
  <si>
    <t>B09FXDGWD9</t>
  </si>
  <si>
    <t>B09FXCCLHL</t>
  </si>
  <si>
    <t>X0030EVUIF</t>
  </si>
  <si>
    <t>X0030FB86X</t>
  </si>
  <si>
    <t>X0030EVUIP</t>
  </si>
  <si>
    <t>X0030FB877</t>
  </si>
  <si>
    <t>X0030EW1FV</t>
  </si>
  <si>
    <t>X0030F8GF9</t>
  </si>
  <si>
    <t>X0030F8GFJ</t>
  </si>
  <si>
    <t>UNYCB00302</t>
    <phoneticPr fontId="27" type="noConversion"/>
  </si>
  <si>
    <t>B07RLJF493</t>
    <phoneticPr fontId="27" type="noConversion"/>
  </si>
  <si>
    <t>B0856V7KKL</t>
    <phoneticPr fontId="27" type="noConversion"/>
  </si>
  <si>
    <t>B074T71H1Q</t>
    <phoneticPr fontId="27" type="noConversion"/>
  </si>
  <si>
    <t>B072K6HR7J</t>
    <phoneticPr fontId="27" type="noConversion"/>
  </si>
  <si>
    <t>B0855CXZD8</t>
    <phoneticPr fontId="27" type="noConversion"/>
  </si>
  <si>
    <t xml:space="preserve"> </t>
    <phoneticPr fontId="27" type="noConversion"/>
  </si>
  <si>
    <t>7T-8CB5-W7MO</t>
    <phoneticPr fontId="27" type="noConversion"/>
  </si>
  <si>
    <t>UNYR013S06</t>
    <phoneticPr fontId="27" type="noConversion"/>
  </si>
  <si>
    <t>UNYR013S07</t>
  </si>
  <si>
    <t>UNYR013S08</t>
  </si>
  <si>
    <t>UNYR013S09</t>
  </si>
  <si>
    <t>UNYR0132T06</t>
    <phoneticPr fontId="27" type="noConversion"/>
  </si>
  <si>
    <t>B09NQ1XQSR</t>
  </si>
  <si>
    <t>B09NQ2ZC4Y</t>
  </si>
  <si>
    <t>B09NQ3ZYB8</t>
  </si>
  <si>
    <t>09NQ3ZK7J</t>
  </si>
  <si>
    <t>B09NQ3TRKC</t>
  </si>
  <si>
    <t>B09NQ2YW49</t>
  </si>
  <si>
    <t>B09NQ323S5</t>
  </si>
  <si>
    <t>B09NQ247YR</t>
  </si>
  <si>
    <t>X0033S6JQ1</t>
  </si>
  <si>
    <t>X0033S78ZR</t>
  </si>
  <si>
    <t>X0033SBA6P</t>
  </si>
  <si>
    <t>X0033SBA6Z</t>
  </si>
  <si>
    <t>X0033SBDIF</t>
  </si>
  <si>
    <t>X0033S6JPR</t>
  </si>
  <si>
    <t>X0033S78ZH</t>
  </si>
  <si>
    <t>X0033SBDI5</t>
  </si>
  <si>
    <t>57-BE2R-RLNP</t>
    <phoneticPr fontId="27" type="noConversion"/>
  </si>
  <si>
    <t>81-1ZG4-A5M8</t>
    <phoneticPr fontId="27" type="noConversion"/>
  </si>
  <si>
    <t>9Q-Q57C-N58I</t>
    <phoneticPr fontId="27" type="noConversion"/>
  </si>
  <si>
    <t>YR-9P6P-CRPM</t>
  </si>
  <si>
    <t>X0034283PV</t>
  </si>
  <si>
    <t>0J-LOY1-TR0F</t>
    <phoneticPr fontId="27" type="noConversion"/>
  </si>
  <si>
    <t>18-FYNP-Z9IQ</t>
    <phoneticPr fontId="27" type="noConversion"/>
  </si>
  <si>
    <t>4J-6ACH-N0IF</t>
    <phoneticPr fontId="27" type="noConversion"/>
  </si>
  <si>
    <t>4U-M0MQ-8T50</t>
    <phoneticPr fontId="27" type="noConversion"/>
  </si>
  <si>
    <t>6V-L3B2-Z7XF</t>
    <phoneticPr fontId="27" type="noConversion"/>
  </si>
  <si>
    <t>7K-0AHB-RVC4</t>
    <phoneticPr fontId="27" type="noConversion"/>
  </si>
  <si>
    <t>8M-U6GJ-1H4E</t>
    <phoneticPr fontId="27" type="noConversion"/>
  </si>
  <si>
    <t>8Y-4TCH-IEIA</t>
    <phoneticPr fontId="27" type="noConversion"/>
  </si>
  <si>
    <t>9T-ESF5-913K</t>
    <phoneticPr fontId="27" type="noConversion"/>
  </si>
  <si>
    <t>BB-EB26-CWHZ</t>
    <phoneticPr fontId="27" type="noConversion"/>
  </si>
  <si>
    <t>G0-KUJJ-4SQ2</t>
    <phoneticPr fontId="27" type="noConversion"/>
  </si>
  <si>
    <t>GV-J6GB-VBH6</t>
    <phoneticPr fontId="27" type="noConversion"/>
  </si>
  <si>
    <t>HJ-NIFN-G08M</t>
    <phoneticPr fontId="27" type="noConversion"/>
  </si>
  <si>
    <t>I4-GWHC-MXL4</t>
    <phoneticPr fontId="27" type="noConversion"/>
  </si>
  <si>
    <t>J9-N3DU-53YS</t>
    <phoneticPr fontId="27" type="noConversion"/>
  </si>
  <si>
    <t>L0-G1AO-R551</t>
    <phoneticPr fontId="27" type="noConversion"/>
  </si>
  <si>
    <t>M8-5CKX-7U8U</t>
    <phoneticPr fontId="27" type="noConversion"/>
  </si>
  <si>
    <t>N6-9Q6S-ANPN</t>
    <phoneticPr fontId="27" type="noConversion"/>
  </si>
  <si>
    <t>NJ-PCLF-4AK6</t>
    <phoneticPr fontId="27" type="noConversion"/>
  </si>
  <si>
    <t>OW-M6UN-54PB</t>
    <phoneticPr fontId="27" type="noConversion"/>
  </si>
  <si>
    <t>PJ-ZM5O-M4GL</t>
    <phoneticPr fontId="27" type="noConversion"/>
  </si>
  <si>
    <t>QL-6K97-XCE3</t>
    <phoneticPr fontId="27" type="noConversion"/>
  </si>
  <si>
    <t>R3-S2E9-LDQ4</t>
    <phoneticPr fontId="27" type="noConversion"/>
  </si>
  <si>
    <t>R7-4J5P-E51A</t>
    <phoneticPr fontId="27" type="noConversion"/>
  </si>
  <si>
    <t>RK-C2R1-DGHG</t>
    <phoneticPr fontId="27" type="noConversion"/>
  </si>
  <si>
    <t>RP-GUE6-I0SH</t>
    <phoneticPr fontId="27" type="noConversion"/>
  </si>
  <si>
    <t>RV-VU56-ZABJ</t>
    <phoneticPr fontId="27" type="noConversion"/>
  </si>
  <si>
    <t>SZ-I4MQ-P8WY</t>
    <phoneticPr fontId="27" type="noConversion"/>
  </si>
  <si>
    <t>UE-RG8X-M4JU</t>
    <phoneticPr fontId="27" type="noConversion"/>
  </si>
  <si>
    <t>UNYCB003BO</t>
    <phoneticPr fontId="27" type="noConversion"/>
  </si>
  <si>
    <t>UNYCB003L</t>
    <phoneticPr fontId="27" type="noConversion"/>
  </si>
  <si>
    <t>UNYCB003S</t>
    <phoneticPr fontId="27" type="noConversion"/>
  </si>
  <si>
    <t>UNYCB005BL</t>
    <phoneticPr fontId="27" type="noConversion"/>
  </si>
  <si>
    <t>UNYCB005CL</t>
    <phoneticPr fontId="27" type="noConversion"/>
  </si>
  <si>
    <t>UNYCB006CL</t>
    <phoneticPr fontId="27" type="noConversion"/>
  </si>
  <si>
    <t>UNYCB007BL</t>
    <phoneticPr fontId="27" type="noConversion"/>
  </si>
  <si>
    <t>UNYCB012BL</t>
    <phoneticPr fontId="27" type="noConversion"/>
  </si>
  <si>
    <t>UNYCB014RD</t>
    <phoneticPr fontId="27" type="noConversion"/>
  </si>
  <si>
    <t>UNYCB016</t>
    <phoneticPr fontId="27" type="noConversion"/>
  </si>
  <si>
    <t>UNYCB018</t>
    <phoneticPr fontId="27" type="noConversion"/>
  </si>
  <si>
    <t>UNYJS002BK</t>
    <phoneticPr fontId="27" type="noConversion"/>
  </si>
  <si>
    <t>UNYJS003BK</t>
    <phoneticPr fontId="27" type="noConversion"/>
  </si>
  <si>
    <t>UNYLB006MG</t>
    <phoneticPr fontId="27" type="noConversion"/>
  </si>
  <si>
    <t>UNYLB006MS</t>
    <phoneticPr fontId="27" type="noConversion"/>
  </si>
  <si>
    <t>UNYLN001SS</t>
    <phoneticPr fontId="27" type="noConversion"/>
  </si>
  <si>
    <t>UNYR00108</t>
    <phoneticPr fontId="27" type="noConversion"/>
  </si>
  <si>
    <t>UNYR00109</t>
    <phoneticPr fontId="27" type="noConversion"/>
  </si>
  <si>
    <t>UNYR00110</t>
    <phoneticPr fontId="27" type="noConversion"/>
  </si>
  <si>
    <t>UNYR002BLK10</t>
    <phoneticPr fontId="27" type="noConversion"/>
  </si>
  <si>
    <t>UNYR0070702</t>
    <phoneticPr fontId="27" type="noConversion"/>
  </si>
  <si>
    <t>UNYR00708</t>
    <phoneticPr fontId="27" type="noConversion"/>
  </si>
  <si>
    <t>UNYR0132T07</t>
    <phoneticPr fontId="27" type="noConversion"/>
  </si>
  <si>
    <t>UNYR0132T08</t>
    <phoneticPr fontId="27" type="noConversion"/>
  </si>
  <si>
    <t>UNYR0132T09</t>
    <phoneticPr fontId="27" type="noConversion"/>
  </si>
  <si>
    <t>UW-R327-PC6H</t>
    <phoneticPr fontId="27" type="noConversion"/>
  </si>
  <si>
    <t>UX-T0FH-IE2H</t>
    <phoneticPr fontId="27" type="noConversion"/>
  </si>
  <si>
    <t>VH-75H1-4FZG</t>
    <phoneticPr fontId="27" type="noConversion"/>
  </si>
  <si>
    <t>WB-67TR-UJW3</t>
    <phoneticPr fontId="27" type="noConversion"/>
  </si>
  <si>
    <t>X7-5Y3V-M21V</t>
    <phoneticPr fontId="27" type="noConversion"/>
  </si>
  <si>
    <t>Y2-0SOS-KG91</t>
    <phoneticPr fontId="27" type="noConversion"/>
  </si>
  <si>
    <t>Z1-D8YF-4G5E</t>
    <phoneticPr fontId="27" type="noConversion"/>
  </si>
  <si>
    <t>1L-Y5WP-8MQV</t>
    <phoneticPr fontId="27" type="noConversion"/>
  </si>
  <si>
    <t>1X-R5MG-2EWM</t>
    <phoneticPr fontId="27" type="noConversion"/>
  </si>
  <si>
    <t>2M-E4KI-Q8OF</t>
    <phoneticPr fontId="27" type="noConversion"/>
  </si>
  <si>
    <t>3X-V6I4-KO2Q</t>
    <phoneticPr fontId="27" type="noConversion"/>
  </si>
  <si>
    <t>4F-4KTX-UKWJ</t>
    <phoneticPr fontId="27" type="noConversion"/>
  </si>
  <si>
    <t>4Q-QDTN-1XWD</t>
    <phoneticPr fontId="27" type="noConversion"/>
  </si>
  <si>
    <t>5T-7Q60-6WG5</t>
    <phoneticPr fontId="27" type="noConversion"/>
  </si>
  <si>
    <t>AR-N0UA-EP6H</t>
    <phoneticPr fontId="27" type="noConversion"/>
  </si>
  <si>
    <t>BI-0GDO-DNMT</t>
    <phoneticPr fontId="27" type="noConversion"/>
  </si>
  <si>
    <t>TB-PVDS-RJU6</t>
    <phoneticPr fontId="27" type="noConversion"/>
  </si>
  <si>
    <t>UNYCB003TE</t>
    <phoneticPr fontId="27" type="noConversion"/>
  </si>
  <si>
    <t>UNYDE001</t>
    <phoneticPr fontId="27" type="noConversion"/>
  </si>
  <si>
    <t>UNYLN0022T</t>
    <phoneticPr fontId="27" type="noConversion"/>
  </si>
  <si>
    <t>UNYR002BLK05</t>
    <phoneticPr fontId="27" type="noConversion"/>
  </si>
  <si>
    <t>YF-OC8A-4LCZ</t>
    <phoneticPr fontId="27" type="noConversion"/>
  </si>
  <si>
    <t>YM-FNSI-JAZL</t>
    <phoneticPr fontId="27" type="noConversion"/>
  </si>
  <si>
    <t>Z7-ISRG-IAB2</t>
    <phoneticPr fontId="27" type="noConversion"/>
  </si>
  <si>
    <t>12-ZVBN-DJRI</t>
    <phoneticPr fontId="27" type="noConversion"/>
  </si>
  <si>
    <t>2F-DNAV-C3ND</t>
    <phoneticPr fontId="27" type="noConversion"/>
  </si>
  <si>
    <t>2I-K037-F4NF</t>
    <phoneticPr fontId="27" type="noConversion"/>
  </si>
  <si>
    <t>5O-D3XP-4DY1</t>
    <phoneticPr fontId="27" type="noConversion"/>
  </si>
  <si>
    <t>5V-2NEK-ZJJY</t>
    <phoneticPr fontId="27" type="noConversion"/>
  </si>
  <si>
    <t>7I-CNNL-BLGW</t>
    <phoneticPr fontId="27" type="noConversion"/>
  </si>
  <si>
    <t>7Q-MHS0-UGZN</t>
    <phoneticPr fontId="27" type="noConversion"/>
  </si>
  <si>
    <t>9M-FWQI-JX20</t>
    <phoneticPr fontId="27" type="noConversion"/>
  </si>
  <si>
    <t>CD-USLY-U5EO</t>
    <phoneticPr fontId="27" type="noConversion"/>
  </si>
  <si>
    <t>CK-8520-BXF1</t>
    <phoneticPr fontId="27" type="noConversion"/>
  </si>
  <si>
    <t>DP-F4FH-EK59</t>
    <phoneticPr fontId="27" type="noConversion"/>
  </si>
  <si>
    <t>ER-R144-1K1Q</t>
    <phoneticPr fontId="27" type="noConversion"/>
  </si>
  <si>
    <t>G1-01AG-TLIL</t>
    <phoneticPr fontId="27" type="noConversion"/>
  </si>
  <si>
    <t>GG-LN7Q-1CTS</t>
    <phoneticPr fontId="27" type="noConversion"/>
  </si>
  <si>
    <t>IR-XC7D-YSKM</t>
    <phoneticPr fontId="27" type="noConversion"/>
  </si>
  <si>
    <t>K9-7PVH-Z9KH</t>
    <phoneticPr fontId="27" type="noConversion"/>
  </si>
  <si>
    <t>NZ-TTIX-UDLB</t>
    <phoneticPr fontId="27" type="noConversion"/>
  </si>
  <si>
    <t>QH-V66D-OJ61</t>
    <phoneticPr fontId="27" type="noConversion"/>
  </si>
  <si>
    <t>RJ-S3ZF-8YEI</t>
    <phoneticPr fontId="27" type="noConversion"/>
  </si>
  <si>
    <t>RS-T8K2-KW12</t>
    <phoneticPr fontId="27" type="noConversion"/>
  </si>
  <si>
    <t>SU-QCHK-NCVS</t>
    <phoneticPr fontId="27" type="noConversion"/>
  </si>
  <si>
    <t>SU-SF5U-7ZLH</t>
    <phoneticPr fontId="27" type="noConversion"/>
  </si>
  <si>
    <t>UJ-W9XQ-8HGP</t>
    <phoneticPr fontId="27" type="noConversion"/>
  </si>
  <si>
    <t>UNYCB010CL</t>
    <phoneticPr fontId="27" type="noConversion"/>
  </si>
  <si>
    <t>UNYCB011CL</t>
    <phoneticPr fontId="27" type="noConversion"/>
  </si>
  <si>
    <t>UNYLB001S</t>
    <phoneticPr fontId="27" type="noConversion"/>
  </si>
  <si>
    <t>UNYLB002S</t>
    <phoneticPr fontId="27" type="noConversion"/>
  </si>
  <si>
    <t>UNYLB00402</t>
    <phoneticPr fontId="27" type="noConversion"/>
  </si>
  <si>
    <t>UNYPEN001</t>
    <phoneticPr fontId="27" type="noConversion"/>
  </si>
  <si>
    <t>UNYR00105</t>
    <phoneticPr fontId="27" type="noConversion"/>
  </si>
  <si>
    <t>UNYR004CL07</t>
    <phoneticPr fontId="27" type="noConversion"/>
  </si>
  <si>
    <t xml:space="preserve">Y2-0SOS-KG91-625 </t>
    <phoneticPr fontId="27" type="noConversion"/>
  </si>
  <si>
    <t>Y2-0SOS-KG91-600</t>
    <phoneticPr fontId="27" type="noConversion"/>
  </si>
  <si>
    <t xml:space="preserve">Y2-0SOS-KG91-700 </t>
    <phoneticPr fontId="27" type="noConversion"/>
  </si>
  <si>
    <t xml:space="preserve">Y2-0SOS-KG91-650 </t>
    <phoneticPr fontId="27" type="noConversion"/>
  </si>
  <si>
    <t xml:space="preserve">B09W2TXLY2 </t>
    <phoneticPr fontId="27" type="noConversion"/>
  </si>
  <si>
    <t xml:space="preserve">B09W2W4M1J </t>
    <phoneticPr fontId="27" type="noConversion"/>
  </si>
  <si>
    <t xml:space="preserve">B09W2W1S88 </t>
    <phoneticPr fontId="27" type="noConversion"/>
  </si>
  <si>
    <t xml:space="preserve">B09W2SPXJP </t>
    <phoneticPr fontId="27" type="noConversion"/>
  </si>
  <si>
    <t>N6-9Q6S-ANPN-600</t>
    <phoneticPr fontId="27" type="noConversion"/>
  </si>
  <si>
    <t xml:space="preserve">N6-9Q6S-ANPN-625 </t>
    <phoneticPr fontId="27" type="noConversion"/>
  </si>
  <si>
    <t xml:space="preserve">N6-9Q6S-ANPN-650 </t>
    <phoneticPr fontId="27" type="noConversion"/>
  </si>
  <si>
    <t xml:space="preserve">N6-9Q6S-ANPN-700 </t>
    <phoneticPr fontId="27" type="noConversion"/>
  </si>
  <si>
    <t xml:space="preserve">B09W2VN515 </t>
    <phoneticPr fontId="27" type="noConversion"/>
  </si>
  <si>
    <t xml:space="preserve">B09W2VYW76 </t>
  </si>
  <si>
    <t xml:space="preserve">B09W2TL3ZG </t>
    <phoneticPr fontId="27" type="noConversion"/>
  </si>
  <si>
    <t>B072N8KW2X</t>
  </si>
  <si>
    <t>7T-GBK3-JLVF</t>
  </si>
  <si>
    <t>B072VN196J</t>
  </si>
  <si>
    <t>X0037REGDL</t>
  </si>
  <si>
    <t>X0037RNJQ1</t>
  </si>
  <si>
    <t>96-NWEH-IUB9</t>
    <phoneticPr fontId="27" type="noConversion"/>
  </si>
  <si>
    <t>B09XHS6C3T</t>
  </si>
  <si>
    <t>B09XHRJCR5</t>
  </si>
  <si>
    <t>B09XHQJYJW</t>
  </si>
  <si>
    <t>UNYCB30022T</t>
  </si>
  <si>
    <t>UNYCB3002G</t>
  </si>
  <si>
    <t>UNYCB3002S</t>
  </si>
  <si>
    <t>X0037RQHKL</t>
  </si>
  <si>
    <t>X0037RNVT1</t>
  </si>
  <si>
    <t>X0037RNSDP</t>
  </si>
  <si>
    <t>color</t>
    <phoneticPr fontId="27" type="noConversion"/>
  </si>
  <si>
    <t>Champ</t>
    <phoneticPr fontId="27" type="noConversion"/>
  </si>
  <si>
    <t>Multi</t>
    <phoneticPr fontId="27" type="noConversion"/>
  </si>
  <si>
    <t>Emerald</t>
    <phoneticPr fontId="27" type="noConversion"/>
  </si>
  <si>
    <t>clear</t>
    <phoneticPr fontId="27" type="noConversion"/>
  </si>
  <si>
    <t>Peridot</t>
    <phoneticPr fontId="27" type="noConversion"/>
  </si>
  <si>
    <t>Clear</t>
    <phoneticPr fontId="27" type="noConversion"/>
  </si>
  <si>
    <t>Purple</t>
    <phoneticPr fontId="27" type="noConversion"/>
  </si>
  <si>
    <t>Yellow</t>
    <phoneticPr fontId="27" type="noConversion"/>
  </si>
  <si>
    <t>blue</t>
    <phoneticPr fontId="27" type="noConversion"/>
  </si>
  <si>
    <t>pink</t>
    <phoneticPr fontId="27" type="noConversion"/>
  </si>
  <si>
    <t>champ</t>
    <phoneticPr fontId="27" type="noConversion"/>
  </si>
  <si>
    <t>black</t>
    <phoneticPr fontId="27" type="noConversion"/>
  </si>
  <si>
    <t>aqua</t>
    <phoneticPr fontId="27" type="noConversion"/>
  </si>
  <si>
    <t>amethyst</t>
    <phoneticPr fontId="27" type="noConversion"/>
  </si>
  <si>
    <t>peridot</t>
    <phoneticPr fontId="27" type="noConversion"/>
  </si>
  <si>
    <t>yellow</t>
    <phoneticPr fontId="27" type="noConversion"/>
  </si>
  <si>
    <t>lavendor</t>
    <phoneticPr fontId="27" type="noConversion"/>
  </si>
  <si>
    <t>purple</t>
    <phoneticPr fontId="27" type="noConversion"/>
  </si>
  <si>
    <t xml:space="preserve">black </t>
    <phoneticPr fontId="27" type="noConversion"/>
  </si>
  <si>
    <t>red</t>
    <phoneticPr fontId="27" type="noConversion"/>
  </si>
  <si>
    <t>white</t>
    <phoneticPr fontId="27" type="noConversion"/>
  </si>
  <si>
    <t>multi</t>
    <phoneticPr fontId="27" type="noConversion"/>
  </si>
  <si>
    <t>OK</t>
    <phoneticPr fontId="27" type="noConversion"/>
  </si>
  <si>
    <t xml:space="preserve">OK </t>
    <phoneticPr fontId="27" type="noConversion"/>
  </si>
  <si>
    <t>OK</t>
    <phoneticPr fontId="27" type="noConversion"/>
  </si>
  <si>
    <t>B09W2VS1YL</t>
  </si>
  <si>
    <t>UNYCN001</t>
  </si>
  <si>
    <t>B09Y5BHVHD</t>
  </si>
  <si>
    <t>X00383X74N</t>
  </si>
  <si>
    <t>X001RL9Q1B</t>
  </si>
  <si>
    <t>X001RL1KPV</t>
  </si>
  <si>
    <t>X001KN2N9N</t>
  </si>
  <si>
    <t>X001T73FLF</t>
  </si>
  <si>
    <t>X001KXAL6P</t>
  </si>
  <si>
    <t>X00372X81H</t>
  </si>
  <si>
    <t>X00372YVAT</t>
  </si>
  <si>
    <t>X00372YVA9</t>
  </si>
  <si>
    <t>X00372WG8X</t>
  </si>
  <si>
    <t>X00372WG8N</t>
  </si>
  <si>
    <t>X00372YYDN</t>
  </si>
  <si>
    <t>X00372YYDX</t>
  </si>
  <si>
    <t>X00372X80X</t>
  </si>
  <si>
    <t>UNYWSB001G-650</t>
  </si>
  <si>
    <t>UNYWSB001G-675</t>
    <phoneticPr fontId="27" type="noConversion"/>
  </si>
  <si>
    <t>UNYWSB001G-700</t>
    <phoneticPr fontId="27" type="noConversion"/>
  </si>
  <si>
    <t>UNYWSB001S-650</t>
  </si>
  <si>
    <t>UNYWSB001S-675</t>
    <phoneticPr fontId="27" type="noConversion"/>
  </si>
  <si>
    <t>UNYWSB001S-700</t>
    <phoneticPr fontId="27" type="noConversion"/>
  </si>
  <si>
    <t>UNYWSB001T-650</t>
  </si>
  <si>
    <t>UNYWSB001T-675</t>
    <phoneticPr fontId="27" type="noConversion"/>
  </si>
  <si>
    <t>UNYWSB001T-700</t>
    <phoneticPr fontId="27" type="noConversion"/>
  </si>
  <si>
    <t>Gold Clear</t>
    <phoneticPr fontId="27" type="noConversion"/>
  </si>
  <si>
    <t>Silver Clear</t>
    <phoneticPr fontId="27" type="noConversion"/>
  </si>
  <si>
    <t>Two Tone Clear</t>
    <phoneticPr fontId="27" type="noConversion"/>
  </si>
  <si>
    <t>B09YCD7D68</t>
  </si>
  <si>
    <t>B09YCPQWPN</t>
  </si>
  <si>
    <t>B09YC9Q164</t>
  </si>
  <si>
    <t>B09YCX74Q8</t>
  </si>
  <si>
    <t>B09YCKBH2M</t>
  </si>
  <si>
    <t>B09YCVZ5JV</t>
  </si>
  <si>
    <t>B09YCT4F4N</t>
  </si>
  <si>
    <t>B09YC5YH4R</t>
  </si>
  <si>
    <t>B09YCDV7PD</t>
  </si>
  <si>
    <t>X003872Q2N</t>
  </si>
  <si>
    <t>X0038744V9</t>
  </si>
  <si>
    <t>X00386TMIF</t>
  </si>
  <si>
    <t>X003874A09</t>
  </si>
  <si>
    <t>X00386TMIP</t>
  </si>
  <si>
    <t>X00386TMI5</t>
  </si>
  <si>
    <t>X003872Q2X</t>
  </si>
  <si>
    <t>X0038749ZZ</t>
  </si>
  <si>
    <t>X0038744UZ</t>
  </si>
  <si>
    <t>ML-IW62-GIH5</t>
    <phoneticPr fontId="27" type="noConversion"/>
  </si>
  <si>
    <t>Q7-JDJ6-EJ35</t>
    <phoneticPr fontId="27" type="noConversion"/>
  </si>
  <si>
    <t>B09YDPHHTY</t>
  </si>
  <si>
    <t>X00387LCYV</t>
  </si>
  <si>
    <t>B09YDQB798</t>
  </si>
  <si>
    <t>X00387OXBP</t>
  </si>
  <si>
    <t>B09YDM6S48</t>
  </si>
  <si>
    <t>X00387T6AX</t>
  </si>
  <si>
    <t>B09YDJM4ZR</t>
  </si>
  <si>
    <t>UNYCB008PK1</t>
  </si>
  <si>
    <t>B09YDKJN4K</t>
  </si>
  <si>
    <t>UNYCB0102TCL1</t>
  </si>
  <si>
    <t>B09YDLJDNP</t>
  </si>
  <si>
    <t>UNYCB011BL1</t>
  </si>
  <si>
    <t>B09YDMKLTL</t>
  </si>
  <si>
    <t>UNYCB012CL1</t>
    <phoneticPr fontId="27" type="noConversion"/>
  </si>
  <si>
    <t>B09YDN23G7</t>
  </si>
  <si>
    <t>UNYCB015BL1</t>
  </si>
  <si>
    <t>X00387DUYB</t>
  </si>
  <si>
    <t>X00387HW95</t>
  </si>
  <si>
    <t>X00387CJ39</t>
  </si>
  <si>
    <t>X00387KZD5</t>
  </si>
  <si>
    <t>X00387OP6D</t>
  </si>
  <si>
    <t>B09YCY94JT</t>
  </si>
  <si>
    <t>UNYWSB002B-650</t>
  </si>
  <si>
    <t>B09YCYCTQS</t>
  </si>
  <si>
    <t>UNYWSB002BLK-650</t>
  </si>
  <si>
    <t>B071H2J8C8</t>
  </si>
  <si>
    <t>NF-2D5Z-E963</t>
  </si>
  <si>
    <t>B072ZXM67P</t>
  </si>
  <si>
    <t>BD-RBMT-4S5P</t>
  </si>
  <si>
    <t>B072ZSBKZ8</t>
  </si>
  <si>
    <t>YE-VP9Z-WM13</t>
  </si>
  <si>
    <t>B073P3D6Y8</t>
  </si>
  <si>
    <t>9D-IAB9-911R</t>
  </si>
  <si>
    <t>B072Y1MZP6</t>
  </si>
  <si>
    <t>1U-WJWA-4K0V</t>
  </si>
  <si>
    <t>B071KG747M</t>
  </si>
  <si>
    <t>1R-EHH7-VHJ1</t>
  </si>
  <si>
    <t>B072KNSXKR</t>
  </si>
  <si>
    <t>B3-WQ27-20R9</t>
  </si>
  <si>
    <t>B072ZC8FHL</t>
  </si>
  <si>
    <t>17-GUTU-IU6D</t>
  </si>
  <si>
    <t>B072KQ2YBZ</t>
  </si>
  <si>
    <t>KC-OTYL-98KC</t>
  </si>
  <si>
    <t>B071GFDN65</t>
  </si>
  <si>
    <t>TY-5LFW-7M0O</t>
  </si>
  <si>
    <t>B0753F1RQC</t>
  </si>
  <si>
    <t>0Q-DQ6C-IWY3</t>
  </si>
  <si>
    <t>B073W4Z7RC</t>
  </si>
  <si>
    <t>C9-GTF7-X70R</t>
  </si>
  <si>
    <t>B073W5CR6Y</t>
  </si>
  <si>
    <t>C8-4399-VBOM</t>
  </si>
  <si>
    <t>B073P5PX2P</t>
  </si>
  <si>
    <t>F6-WE61-I4XS</t>
  </si>
  <si>
    <t>B073P5BTZ7</t>
  </si>
  <si>
    <t>17-LTEC-AXSL</t>
  </si>
  <si>
    <t>B073P4562J</t>
  </si>
  <si>
    <t>1K-FF4S-W8YM</t>
  </si>
  <si>
    <t>B072NH8Y8L</t>
  </si>
  <si>
    <t>R7-MU2L-SG3M</t>
  </si>
  <si>
    <t>B072KNKW95</t>
  </si>
  <si>
    <t>WJ-8NIG-T65H</t>
  </si>
  <si>
    <t>B071GFKNCY</t>
  </si>
  <si>
    <t>KY-EMY1-473J</t>
  </si>
  <si>
    <t>X0038799X7</t>
  </si>
  <si>
    <t>X00387DB6N</t>
  </si>
  <si>
    <t>X00386YSWF</t>
  </si>
  <si>
    <t>X00387BV01</t>
  </si>
  <si>
    <t>X00387DG4Z</t>
  </si>
  <si>
    <t>X0038799D7</t>
  </si>
  <si>
    <t>X0038799DH</t>
  </si>
  <si>
    <t>X00386YSVL</t>
  </si>
  <si>
    <t>X00386YSV1</t>
  </si>
  <si>
    <t>X00386YSW5</t>
  </si>
  <si>
    <t>X00387DG4P</t>
  </si>
  <si>
    <t>X00387DG4F</t>
  </si>
  <si>
    <t>X00387DG45</t>
  </si>
  <si>
    <t>X0038799CX</t>
  </si>
  <si>
    <t>X00386YSVB</t>
  </si>
  <si>
    <t>X00387BV0V</t>
  </si>
  <si>
    <t>X0038799DR</t>
  </si>
  <si>
    <t>X00387BV15</t>
  </si>
  <si>
    <t>X00387BV0L</t>
  </si>
  <si>
    <t>X00387BV0B</t>
  </si>
  <si>
    <t>X0038799CD</t>
  </si>
  <si>
    <t>UNYJS001</t>
    <phoneticPr fontId="27" type="noConversion"/>
  </si>
  <si>
    <t xml:space="preserve">B09YMRR5ND </t>
    <phoneticPr fontId="27" type="noConversion"/>
  </si>
  <si>
    <t xml:space="preserve">UNYPEN002-YELLOW </t>
    <phoneticPr fontId="27" type="noConversion"/>
  </si>
  <si>
    <t xml:space="preserve">X0038AUE3D </t>
    <phoneticPr fontId="27" type="noConversion"/>
  </si>
  <si>
    <t xml:space="preserve">B09YMR69Z1 </t>
    <phoneticPr fontId="27" type="noConversion"/>
  </si>
  <si>
    <t xml:space="preserve">UNYPEN002-PERIDOT </t>
    <phoneticPr fontId="27" type="noConversion"/>
  </si>
  <si>
    <t xml:space="preserve">X0038AUJRT </t>
    <phoneticPr fontId="27" type="noConversion"/>
  </si>
  <si>
    <t>B09YMP71YP</t>
    <phoneticPr fontId="27" type="noConversion"/>
  </si>
  <si>
    <t>UNYPEN002-PURPLE</t>
    <phoneticPr fontId="27" type="noConversion"/>
  </si>
  <si>
    <t xml:space="preserve">X0038AVXWJ </t>
    <phoneticPr fontId="27" type="noConversion"/>
  </si>
  <si>
    <t>B09YMRYLMC</t>
    <phoneticPr fontId="27" type="noConversion"/>
  </si>
  <si>
    <t>UNYPEN002-BLUE</t>
    <phoneticPr fontId="27" type="noConversion"/>
  </si>
  <si>
    <t>X0038AZGHR</t>
    <phoneticPr fontId="27" type="noConversion"/>
  </si>
  <si>
    <t xml:space="preserve">UNYPEN002-RED </t>
    <phoneticPr fontId="27" type="noConversion"/>
  </si>
  <si>
    <t>B09YMPD381</t>
    <phoneticPr fontId="27" type="noConversion"/>
  </si>
  <si>
    <t xml:space="preserve">X0038AUE2T </t>
    <phoneticPr fontId="27" type="noConversion"/>
  </si>
  <si>
    <t>UNYPEN002-WHITE</t>
    <phoneticPr fontId="27" type="noConversion"/>
  </si>
  <si>
    <t xml:space="preserve">B09YMQND81 </t>
    <phoneticPr fontId="27" type="noConversion"/>
  </si>
  <si>
    <t xml:space="preserve">X0038AUE2J </t>
    <phoneticPr fontId="27" type="noConversion"/>
  </si>
  <si>
    <t xml:space="preserve">UNYPEN002-LAVENDER </t>
    <phoneticPr fontId="27" type="noConversion"/>
  </si>
  <si>
    <t>B09YMQBNKG</t>
    <phoneticPr fontId="27" type="noConversion"/>
  </si>
  <si>
    <t xml:space="preserve">X0038AUJRJ </t>
    <phoneticPr fontId="27" type="noConversion"/>
  </si>
  <si>
    <t xml:space="preserve">UNYPEN002-PINK </t>
    <phoneticPr fontId="27" type="noConversion"/>
  </si>
  <si>
    <t xml:space="preserve">X0038AVXW9 </t>
    <phoneticPr fontId="27" type="noConversion"/>
  </si>
  <si>
    <t>B09YMS2R6Q</t>
    <phoneticPr fontId="27" type="noConversion"/>
  </si>
  <si>
    <t>B09YMS8PX2</t>
    <phoneticPr fontId="27" type="noConversion"/>
  </si>
  <si>
    <t xml:space="preserve">UNYPEN002-CHAMP </t>
    <phoneticPr fontId="27" type="noConversion"/>
  </si>
  <si>
    <t xml:space="preserve">X0038AZGHH </t>
    <phoneticPr fontId="27" type="noConversion"/>
  </si>
  <si>
    <t xml:space="preserve">UNYR015-06
</t>
    <phoneticPr fontId="27" type="noConversion"/>
  </si>
  <si>
    <t xml:space="preserve">B09YMKVRKN </t>
    <phoneticPr fontId="27" type="noConversion"/>
  </si>
  <si>
    <t xml:space="preserve">X0038ASMIH </t>
    <phoneticPr fontId="27" type="noConversion"/>
  </si>
  <si>
    <t>UNYR015-07</t>
    <phoneticPr fontId="27" type="noConversion"/>
  </si>
  <si>
    <t xml:space="preserve">B09YMLN9PT </t>
    <phoneticPr fontId="27" type="noConversion"/>
  </si>
  <si>
    <t>X0038B0BQ7</t>
    <phoneticPr fontId="27" type="noConversion"/>
  </si>
  <si>
    <t xml:space="preserve">UNYR015-08 </t>
    <phoneticPr fontId="27" type="noConversion"/>
  </si>
  <si>
    <t xml:space="preserve">B09YMLK4D3 </t>
    <phoneticPr fontId="27" type="noConversion"/>
  </si>
  <si>
    <t xml:space="preserve">X0038B0BR1 </t>
    <phoneticPr fontId="27" type="noConversion"/>
  </si>
  <si>
    <t>B09YMNZMWX</t>
    <phoneticPr fontId="27" type="noConversion"/>
  </si>
  <si>
    <t>UNYR015-09</t>
  </si>
  <si>
    <t xml:space="preserve">X0038AS7GJ </t>
    <phoneticPr fontId="27" type="noConversion"/>
  </si>
  <si>
    <t xml:space="preserve">UNYR014-06 </t>
    <phoneticPr fontId="27" type="noConversion"/>
  </si>
  <si>
    <t>UNYR014-08</t>
  </si>
  <si>
    <t>UNYR014-09</t>
  </si>
  <si>
    <t>UNYR014-10</t>
  </si>
  <si>
    <t>UNYR014-07</t>
    <phoneticPr fontId="27" type="noConversion"/>
  </si>
  <si>
    <t>B09YMMZ6FX</t>
    <phoneticPr fontId="27" type="noConversion"/>
  </si>
  <si>
    <t xml:space="preserve">X0038AS7G9 </t>
    <phoneticPr fontId="27" type="noConversion"/>
  </si>
  <si>
    <t>B09YMJXLFT</t>
    <phoneticPr fontId="27" type="noConversion"/>
  </si>
  <si>
    <t>X0038ASI59</t>
    <phoneticPr fontId="27" type="noConversion"/>
  </si>
  <si>
    <t>B09YMKMP94</t>
    <phoneticPr fontId="27" type="noConversion"/>
  </si>
  <si>
    <t>X0038ASMIR</t>
    <phoneticPr fontId="27" type="noConversion"/>
  </si>
  <si>
    <t xml:space="preserve">B09YMKBMD7 </t>
    <phoneticPr fontId="27" type="noConversion"/>
  </si>
  <si>
    <t xml:space="preserve">X0038B0BQH </t>
    <phoneticPr fontId="27" type="noConversion"/>
  </si>
  <si>
    <t>B09YMLS717</t>
    <phoneticPr fontId="27" type="noConversion"/>
  </si>
  <si>
    <t xml:space="preserve">X0038ASI4Z </t>
    <phoneticPr fontId="27" type="noConversion"/>
  </si>
  <si>
    <t>MO-OX5K-HSTJ</t>
    <phoneticPr fontId="27" type="noConversion"/>
  </si>
  <si>
    <t xml:space="preserve">B09YQ3R8VX </t>
    <phoneticPr fontId="27" type="noConversion"/>
  </si>
  <si>
    <t xml:space="preserve">UNYCB031 </t>
    <phoneticPr fontId="27" type="noConversion"/>
  </si>
  <si>
    <t>B09YQ86VJP</t>
    <phoneticPr fontId="27" type="noConversion"/>
  </si>
  <si>
    <t xml:space="preserve">UNYCB030-PINK </t>
    <phoneticPr fontId="27" type="noConversion"/>
  </si>
  <si>
    <t>B09YQHRX2X</t>
    <phoneticPr fontId="27" type="noConversion"/>
  </si>
  <si>
    <t>UNYJS014-GRAY</t>
    <phoneticPr fontId="27" type="noConversion"/>
  </si>
  <si>
    <t xml:space="preserve">X0038CVWU5 </t>
    <phoneticPr fontId="27" type="noConversion"/>
  </si>
  <si>
    <t>X0038D5HIR</t>
    <phoneticPr fontId="27" type="noConversion"/>
  </si>
  <si>
    <t>X0038CWS7V</t>
    <phoneticPr fontId="27" type="noConversion"/>
  </si>
  <si>
    <t>UNYCB030-BLACK</t>
    <phoneticPr fontId="27" type="noConversion"/>
  </si>
  <si>
    <t xml:space="preserve">B09YQ8GGFM </t>
    <phoneticPr fontId="27" type="noConversion"/>
  </si>
  <si>
    <t xml:space="preserve">X0038CVWTL </t>
    <phoneticPr fontId="27" type="noConversion"/>
  </si>
  <si>
    <t xml:space="preserve">UNYCB030-RED </t>
    <phoneticPr fontId="27" type="noConversion"/>
  </si>
  <si>
    <t>B09YQ8BF5X</t>
    <phoneticPr fontId="27" type="noConversion"/>
  </si>
  <si>
    <t>X0038D5ERL</t>
    <phoneticPr fontId="27" type="noConversion"/>
  </si>
  <si>
    <t xml:space="preserve">UNYCB030-PURPLE </t>
    <phoneticPr fontId="27" type="noConversion"/>
  </si>
  <si>
    <t>B09YQ93G21</t>
    <phoneticPr fontId="27" type="noConversion"/>
  </si>
  <si>
    <t xml:space="preserve">X0038D5HIH </t>
    <phoneticPr fontId="27" type="noConversion"/>
  </si>
  <si>
    <t xml:space="preserve">UNYPEN003 </t>
    <phoneticPr fontId="27" type="noConversion"/>
  </si>
  <si>
    <t>B09YQJKM1V</t>
    <phoneticPr fontId="27" type="noConversion"/>
  </si>
  <si>
    <t>X0038D5ERV</t>
    <phoneticPr fontId="27" type="noConversion"/>
  </si>
  <si>
    <t>B09YQHSR8F</t>
    <phoneticPr fontId="27" type="noConversion"/>
  </si>
  <si>
    <t xml:space="preserve">X0038D5ERB </t>
    <phoneticPr fontId="27" type="noConversion"/>
  </si>
  <si>
    <t xml:space="preserve">UNYJS014-CREAM </t>
    <phoneticPr fontId="27" type="noConversion"/>
  </si>
  <si>
    <t xml:space="preserve">UNYJS015 </t>
    <phoneticPr fontId="27" type="noConversion"/>
  </si>
  <si>
    <t xml:space="preserve">B09YQL87X8 </t>
    <phoneticPr fontId="27" type="noConversion"/>
  </si>
  <si>
    <t>X0038CWS7B</t>
    <phoneticPr fontId="27" type="noConversion"/>
  </si>
  <si>
    <t xml:space="preserve">UNYCB029-PURPLE </t>
    <phoneticPr fontId="27" type="noConversion"/>
  </si>
  <si>
    <t xml:space="preserve">B09YQDSY87 </t>
    <phoneticPr fontId="27" type="noConversion"/>
  </si>
  <si>
    <t xml:space="preserve">X0038D5HI7 </t>
    <phoneticPr fontId="27" type="noConversion"/>
  </si>
  <si>
    <t xml:space="preserve">UNYCB029-RED </t>
    <phoneticPr fontId="27" type="noConversion"/>
  </si>
  <si>
    <t xml:space="preserve">B09YQF1ZK9 </t>
    <phoneticPr fontId="27" type="noConversion"/>
  </si>
  <si>
    <t>X0038CWS7L</t>
    <phoneticPr fontId="27" type="noConversion"/>
  </si>
  <si>
    <t xml:space="preserve">UNYCB029-BLACK </t>
    <phoneticPr fontId="27" type="noConversion"/>
  </si>
  <si>
    <t>B09YQCF34D</t>
    <phoneticPr fontId="27" type="noConversion"/>
  </si>
  <si>
    <t xml:space="preserve">X0038CVWTB </t>
    <phoneticPr fontId="27" type="noConversion"/>
  </si>
  <si>
    <t xml:space="preserve">UNYCB029-PERIDOT </t>
    <phoneticPr fontId="27" type="noConversion"/>
  </si>
  <si>
    <t xml:space="preserve">B09YQF2DLX </t>
    <phoneticPr fontId="27" type="noConversion"/>
  </si>
  <si>
    <t>X0038D5HHX</t>
    <phoneticPr fontId="27" type="noConversion"/>
  </si>
  <si>
    <t xml:space="preserve">UNYCB029-CLEAR </t>
    <phoneticPr fontId="27" type="noConversion"/>
  </si>
  <si>
    <t>B09YQCSS1N</t>
    <phoneticPr fontId="27" type="noConversion"/>
  </si>
  <si>
    <t xml:space="preserve">X0038D5ER1 </t>
    <phoneticPr fontId="27" type="noConversion"/>
  </si>
  <si>
    <t>UNYCB006BL</t>
    <phoneticPr fontId="27" type="noConversion"/>
  </si>
  <si>
    <t>B09YTXNKJD</t>
    <phoneticPr fontId="27" type="noConversion"/>
  </si>
  <si>
    <t xml:space="preserve">UNYR017-08-BLACK </t>
    <phoneticPr fontId="27" type="noConversion"/>
  </si>
  <si>
    <t>B09YRZHW22</t>
    <phoneticPr fontId="27" type="noConversion"/>
  </si>
  <si>
    <t xml:space="preserve">X0038F6LZX </t>
    <phoneticPr fontId="27" type="noConversion"/>
  </si>
  <si>
    <t xml:space="preserve">UNYYN001R </t>
    <phoneticPr fontId="27" type="noConversion"/>
  </si>
  <si>
    <t>B09YS4Z6BS</t>
    <phoneticPr fontId="27" type="noConversion"/>
  </si>
  <si>
    <t>X0038F35L1</t>
    <phoneticPr fontId="27" type="noConversion"/>
  </si>
  <si>
    <t xml:space="preserve">UNYSB003G </t>
    <phoneticPr fontId="27" type="noConversion"/>
  </si>
  <si>
    <t xml:space="preserve">B09YSNVVB8 </t>
    <phoneticPr fontId="27" type="noConversion"/>
  </si>
  <si>
    <t xml:space="preserve">X0038F2DJ1 </t>
    <phoneticPr fontId="27" type="noConversion"/>
  </si>
  <si>
    <t>B09YS33T4F</t>
    <phoneticPr fontId="27" type="noConversion"/>
  </si>
  <si>
    <t xml:space="preserve">UNYYN001G </t>
    <phoneticPr fontId="27" type="noConversion"/>
  </si>
  <si>
    <t xml:space="preserve">X0038F2YOF </t>
    <phoneticPr fontId="27" type="noConversion"/>
  </si>
  <si>
    <t xml:space="preserve">B09YRZT615 </t>
    <phoneticPr fontId="27" type="noConversion"/>
  </si>
  <si>
    <t xml:space="preserve">UNYR017-09-PURPLE </t>
    <phoneticPr fontId="27" type="noConversion"/>
  </si>
  <si>
    <t xml:space="preserve">X0038F2DK5 </t>
    <phoneticPr fontId="27" type="noConversion"/>
  </si>
  <si>
    <t xml:space="preserve">UNYR017-09-CLEAR </t>
    <phoneticPr fontId="27" type="noConversion"/>
  </si>
  <si>
    <t>B09YS2HY2H</t>
    <phoneticPr fontId="27" type="noConversion"/>
  </si>
  <si>
    <t>X0038F2YQ3</t>
    <phoneticPr fontId="27" type="noConversion"/>
  </si>
  <si>
    <t xml:space="preserve">UNYR017-09-BLACK </t>
    <phoneticPr fontId="27" type="noConversion"/>
  </si>
  <si>
    <t xml:space="preserve">B09YRYHFPR </t>
    <phoneticPr fontId="27" type="noConversion"/>
  </si>
  <si>
    <t xml:space="preserve">X0038F2DJB </t>
    <phoneticPr fontId="27" type="noConversion"/>
  </si>
  <si>
    <t xml:space="preserve">UNYR012-10 </t>
    <phoneticPr fontId="27" type="noConversion"/>
  </si>
  <si>
    <t xml:space="preserve">B09YRWT4L2 </t>
    <phoneticPr fontId="27" type="noConversion"/>
  </si>
  <si>
    <t xml:space="preserve">X0038F35HP </t>
    <phoneticPr fontId="27" type="noConversion"/>
  </si>
  <si>
    <t>B09YRY6Y8V</t>
    <phoneticPr fontId="27" type="noConversion"/>
  </si>
  <si>
    <t xml:space="preserve">X0038F6LWV </t>
    <phoneticPr fontId="27" type="noConversion"/>
  </si>
  <si>
    <t>UNYR017-08-PURPLE</t>
    <phoneticPr fontId="27" type="noConversion"/>
  </si>
  <si>
    <t xml:space="preserve">B09YS2LN3K </t>
    <phoneticPr fontId="27" type="noConversion"/>
  </si>
  <si>
    <t>UNYR012-09</t>
    <phoneticPr fontId="27" type="noConversion"/>
  </si>
  <si>
    <t>B09YRY1QWW</t>
    <phoneticPr fontId="27" type="noConversion"/>
  </si>
  <si>
    <t>X0038F2YMR</t>
    <phoneticPr fontId="27" type="noConversion"/>
  </si>
  <si>
    <t xml:space="preserve">X0038F35KR </t>
    <phoneticPr fontId="27" type="noConversion"/>
  </si>
  <si>
    <t>UNYR017-06-BLACK</t>
    <phoneticPr fontId="27" type="noConversion"/>
  </si>
  <si>
    <t xml:space="preserve">B09YRZWBGH </t>
    <phoneticPr fontId="27" type="noConversion"/>
  </si>
  <si>
    <t>X0038F35HF</t>
    <phoneticPr fontId="27" type="noConversion"/>
  </si>
  <si>
    <t xml:space="preserve">UNYR017-07-BLACK </t>
    <phoneticPr fontId="27" type="noConversion"/>
  </si>
  <si>
    <t xml:space="preserve">B09YS3639K </t>
    <phoneticPr fontId="27" type="noConversion"/>
  </si>
  <si>
    <t xml:space="preserve">X0038F2DGJ </t>
    <phoneticPr fontId="27" type="noConversion"/>
  </si>
  <si>
    <t>B09YTWY8BD</t>
    <phoneticPr fontId="27" type="noConversion"/>
  </si>
  <si>
    <t xml:space="preserve">UNYJS016 </t>
    <phoneticPr fontId="27" type="noConversion"/>
  </si>
  <si>
    <t xml:space="preserve">X0038F2DFP </t>
    <phoneticPr fontId="27" type="noConversion"/>
  </si>
  <si>
    <t xml:space="preserve">UNYDE003S </t>
    <phoneticPr fontId="27" type="noConversion"/>
  </si>
  <si>
    <t xml:space="preserve">B09YTLWVGX </t>
    <phoneticPr fontId="27" type="noConversion"/>
  </si>
  <si>
    <t>X0038F6LX5</t>
    <phoneticPr fontId="27" type="noConversion"/>
  </si>
  <si>
    <t xml:space="preserve">UNYR017-06-CLEAR </t>
    <phoneticPr fontId="27" type="noConversion"/>
  </si>
  <si>
    <t>B09YS2XX27</t>
    <phoneticPr fontId="27" type="noConversion"/>
  </si>
  <si>
    <t>X0038F2DFZ</t>
    <phoneticPr fontId="27" type="noConversion"/>
  </si>
  <si>
    <t>30''</t>
    <phoneticPr fontId="27" type="noConversion"/>
  </si>
  <si>
    <t xml:space="preserve">UNYLN005S </t>
    <phoneticPr fontId="27" type="noConversion"/>
  </si>
  <si>
    <t xml:space="preserve">B09YTPSQH2 </t>
    <phoneticPr fontId="27" type="noConversion"/>
  </si>
  <si>
    <t xml:space="preserve">X0038F2DG9 </t>
    <phoneticPr fontId="27" type="noConversion"/>
  </si>
  <si>
    <t xml:space="preserve">UNYR017-06-PURPLE </t>
    <phoneticPr fontId="27" type="noConversion"/>
  </si>
  <si>
    <t xml:space="preserve">B09YS1SPK1 </t>
    <phoneticPr fontId="27" type="noConversion"/>
  </si>
  <si>
    <t xml:space="preserve">X0038F2AYT </t>
    <phoneticPr fontId="27" type="noConversion"/>
  </si>
  <si>
    <t xml:space="preserve">UNYJS017 </t>
    <phoneticPr fontId="27" type="noConversion"/>
  </si>
  <si>
    <t>B09YTVS1K2</t>
    <phoneticPr fontId="27" type="noConversion"/>
  </si>
  <si>
    <t xml:space="preserve">X0038F35G1 </t>
    <phoneticPr fontId="27" type="noConversion"/>
  </si>
  <si>
    <t xml:space="preserve">UNYR017-07-CLEAR </t>
    <phoneticPr fontId="27" type="noConversion"/>
  </si>
  <si>
    <t xml:space="preserve">B09YS2MHFH </t>
    <phoneticPr fontId="27" type="noConversion"/>
  </si>
  <si>
    <t xml:space="preserve">X0038F2YM7 </t>
    <phoneticPr fontId="27" type="noConversion"/>
  </si>
  <si>
    <t xml:space="preserve">UNYR017-08-CLEAR </t>
    <phoneticPr fontId="27" type="noConversion"/>
  </si>
  <si>
    <t xml:space="preserve">B09YRZXL8L </t>
    <phoneticPr fontId="27" type="noConversion"/>
  </si>
  <si>
    <t xml:space="preserve">X0038F2DJL </t>
    <phoneticPr fontId="27" type="noConversion"/>
  </si>
  <si>
    <t>UNYR012-12</t>
    <phoneticPr fontId="27" type="noConversion"/>
  </si>
  <si>
    <t xml:space="preserve">B09YS3WKX7 </t>
    <phoneticPr fontId="27" type="noConversion"/>
  </si>
  <si>
    <t xml:space="preserve">X0038F6LWL </t>
    <phoneticPr fontId="27" type="noConversion"/>
  </si>
  <si>
    <t xml:space="preserve">UNYR012-08 </t>
    <phoneticPr fontId="27" type="noConversion"/>
  </si>
  <si>
    <t>B09YRYP5X9</t>
    <phoneticPr fontId="27" type="noConversion"/>
  </si>
  <si>
    <t xml:space="preserve">X0038F35HZ </t>
    <phoneticPr fontId="27" type="noConversion"/>
  </si>
  <si>
    <t xml:space="preserve">UNYR012-07 </t>
    <phoneticPr fontId="27" type="noConversion"/>
  </si>
  <si>
    <t xml:space="preserve">B09YRY9GB8 </t>
    <phoneticPr fontId="27" type="noConversion"/>
  </si>
  <si>
    <t xml:space="preserve">X0038F2DGT </t>
    <phoneticPr fontId="27" type="noConversion"/>
  </si>
  <si>
    <t xml:space="preserve">UNYR012-06 </t>
    <phoneticPr fontId="27" type="noConversion"/>
  </si>
  <si>
    <t xml:space="preserve">B09YRXHX39 </t>
    <phoneticPr fontId="27" type="noConversion"/>
  </si>
  <si>
    <t xml:space="preserve">X0038F6LXF </t>
    <phoneticPr fontId="27" type="noConversion"/>
  </si>
  <si>
    <t xml:space="preserve">B09YTRYDJS </t>
    <phoneticPr fontId="27" type="noConversion"/>
  </si>
  <si>
    <t xml:space="preserve">UNYLN004S </t>
    <phoneticPr fontId="27" type="noConversion"/>
  </si>
  <si>
    <t xml:space="preserve">X0038F2YLX </t>
    <phoneticPr fontId="27" type="noConversion"/>
  </si>
  <si>
    <t>B09YS1GSL4</t>
    <phoneticPr fontId="27" type="noConversion"/>
  </si>
  <si>
    <t xml:space="preserve">UNYR017-07-PURPLE </t>
    <phoneticPr fontId="27" type="noConversion"/>
  </si>
  <si>
    <t xml:space="preserve">X0038F2DFF </t>
    <phoneticPr fontId="27" type="noConversion"/>
  </si>
  <si>
    <t>B09YTQH5KB</t>
    <phoneticPr fontId="27" type="noConversion"/>
  </si>
  <si>
    <t xml:space="preserve">UNYDE0032T </t>
    <phoneticPr fontId="27" type="noConversion"/>
  </si>
  <si>
    <t xml:space="preserve">X0038F2YMH </t>
    <phoneticPr fontId="27" type="noConversion"/>
  </si>
  <si>
    <t>UNYCB032</t>
    <phoneticPr fontId="27" type="noConversion"/>
  </si>
  <si>
    <t xml:space="preserve">B09YV16YGS </t>
    <phoneticPr fontId="27" type="noConversion"/>
  </si>
  <si>
    <t xml:space="preserve">X0038F2YN1 </t>
    <phoneticPr fontId="27" type="noConversion"/>
  </si>
  <si>
    <t xml:space="preserve">X0038F2DH3 </t>
    <phoneticPr fontId="27" type="noConversion"/>
  </si>
  <si>
    <t xml:space="preserve">UNYCB034 </t>
    <phoneticPr fontId="27" type="noConversion"/>
  </si>
  <si>
    <t xml:space="preserve">B09YV1WLXG </t>
    <phoneticPr fontId="27" type="noConversion"/>
  </si>
  <si>
    <t>UNYPEN004</t>
    <phoneticPr fontId="27" type="noConversion"/>
  </si>
  <si>
    <t>X0038F35GL</t>
    <phoneticPr fontId="27" type="noConversion"/>
  </si>
  <si>
    <t xml:space="preserve">X0038F35I9 </t>
    <phoneticPr fontId="27" type="noConversion"/>
  </si>
  <si>
    <t xml:space="preserve">UNYCB033 </t>
    <phoneticPr fontId="27" type="noConversion"/>
  </si>
  <si>
    <t>B09YTZ5352</t>
    <phoneticPr fontId="27" type="noConversion"/>
  </si>
  <si>
    <t xml:space="preserve">Long Necklace </t>
    <phoneticPr fontId="27" type="noConversion"/>
  </si>
  <si>
    <t>Bracelet</t>
    <phoneticPr fontId="27" type="noConversion"/>
  </si>
  <si>
    <t>Creamation Pendant Necklace</t>
  </si>
  <si>
    <t>UNYR012-11</t>
    <phoneticPr fontId="27" type="noConversion"/>
  </si>
  <si>
    <t>B07FL6JS7W</t>
  </si>
  <si>
    <t>Bangle</t>
    <phoneticPr fontId="27" type="noConversion"/>
  </si>
  <si>
    <t>Purple</t>
    <phoneticPr fontId="27" type="noConversion"/>
  </si>
  <si>
    <t>Necklace</t>
    <phoneticPr fontId="27" type="noConversion"/>
  </si>
  <si>
    <t>Blue</t>
    <phoneticPr fontId="27" type="noConversion"/>
  </si>
  <si>
    <t>emerald</t>
    <phoneticPr fontId="27" type="noConversion"/>
  </si>
  <si>
    <t>peridot</t>
    <phoneticPr fontId="27" type="noConversion"/>
  </si>
  <si>
    <t>tiger eye</t>
    <phoneticPr fontId="27" type="noConversion"/>
  </si>
  <si>
    <t xml:space="preserve">UNYCB007BU </t>
    <phoneticPr fontId="27" type="noConversion"/>
  </si>
  <si>
    <t>JEWELRY SETS</t>
  </si>
  <si>
    <t>Bracelet</t>
    <phoneticPr fontId="27" type="noConversion"/>
  </si>
  <si>
    <t>green</t>
    <phoneticPr fontId="27" type="noConversion"/>
  </si>
  <si>
    <r>
      <rPr>
        <sz val="14"/>
        <rFont val="細明體"/>
        <family val="3"/>
        <charset val="136"/>
      </rPr>
      <t>产品图片</t>
    </r>
  </si>
  <si>
    <r>
      <rPr>
        <sz val="14"/>
        <rFont val="宋体"/>
        <charset val="136"/>
      </rPr>
      <t>條碼編號</t>
    </r>
  </si>
  <si>
    <r>
      <rPr>
        <b/>
        <sz val="14"/>
        <rFont val="細明體"/>
        <family val="3"/>
        <charset val="136"/>
      </rPr>
      <t>黑色</t>
    </r>
    <phoneticPr fontId="27" type="noConversion"/>
  </si>
  <si>
    <r>
      <rPr>
        <b/>
        <sz val="14"/>
        <rFont val="細明體"/>
        <family val="3"/>
        <charset val="136"/>
      </rPr>
      <t>白色</t>
    </r>
    <phoneticPr fontId="27" type="noConversion"/>
  </si>
  <si>
    <r>
      <rPr>
        <b/>
        <sz val="14"/>
        <rFont val="細明體"/>
        <family val="3"/>
        <charset val="136"/>
      </rPr>
      <t>苹果绿</t>
    </r>
    <phoneticPr fontId="27" type="noConversion"/>
  </si>
  <si>
    <r>
      <rPr>
        <b/>
        <sz val="14"/>
        <rFont val="細明體"/>
        <family val="3"/>
        <charset val="136"/>
      </rPr>
      <t>紫色</t>
    </r>
    <phoneticPr fontId="27" type="noConversion"/>
  </si>
  <si>
    <r>
      <rPr>
        <b/>
        <sz val="14"/>
        <rFont val="細明體"/>
        <family val="3"/>
        <charset val="136"/>
      </rPr>
      <t>红色</t>
    </r>
    <phoneticPr fontId="27" type="noConversion"/>
  </si>
  <si>
    <r>
      <rPr>
        <b/>
        <sz val="14"/>
        <rFont val="細明體"/>
        <family val="3"/>
        <charset val="136"/>
      </rPr>
      <t>普珠</t>
    </r>
    <phoneticPr fontId="27" type="noConversion"/>
  </si>
  <si>
    <r>
      <rPr>
        <b/>
        <sz val="14"/>
        <rFont val="細明體"/>
        <family val="3"/>
        <charset val="136"/>
      </rPr>
      <t>黑</t>
    </r>
    <r>
      <rPr>
        <b/>
        <sz val="14"/>
        <rFont val="Arial"/>
        <family val="2"/>
      </rPr>
      <t>6</t>
    </r>
    <phoneticPr fontId="27" type="noConversion"/>
  </si>
  <si>
    <r>
      <rPr>
        <b/>
        <sz val="14"/>
        <rFont val="細明體"/>
        <family val="3"/>
        <charset val="136"/>
      </rPr>
      <t>白</t>
    </r>
    <r>
      <rPr>
        <b/>
        <sz val="14"/>
        <rFont val="Arial"/>
        <family val="2"/>
      </rPr>
      <t>6</t>
    </r>
    <phoneticPr fontId="27" type="noConversion"/>
  </si>
  <si>
    <r>
      <rPr>
        <b/>
        <sz val="14"/>
        <rFont val="細明體"/>
        <family val="3"/>
        <charset val="136"/>
      </rPr>
      <t>黑</t>
    </r>
    <r>
      <rPr>
        <b/>
        <sz val="14"/>
        <rFont val="Arial"/>
        <family val="2"/>
      </rPr>
      <t>7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</si>
  <si>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4"/>
        <rFont val="細明體"/>
        <family val="3"/>
        <charset val="136"/>
      </rPr>
      <t>白</t>
    </r>
    <r>
      <rPr>
        <b/>
        <sz val="14"/>
        <rFont val="Arial"/>
        <family val="2"/>
      </rPr>
      <t>7</t>
    </r>
    <phoneticPr fontId="27" type="noConversion"/>
  </si>
  <si>
    <r>
      <rPr>
        <b/>
        <sz val="14"/>
        <rFont val="細明體"/>
        <family val="3"/>
        <charset val="136"/>
      </rPr>
      <t>黑</t>
    </r>
    <r>
      <rPr>
        <b/>
        <sz val="14"/>
        <rFont val="Arial"/>
        <family val="2"/>
      </rPr>
      <t>8</t>
    </r>
    <phoneticPr fontId="27" type="noConversion"/>
  </si>
  <si>
    <r>
      <rPr>
        <b/>
        <sz val="14"/>
        <rFont val="細明體"/>
        <family val="3"/>
        <charset val="136"/>
      </rPr>
      <t>白</t>
    </r>
    <r>
      <rPr>
        <b/>
        <sz val="14"/>
        <rFont val="Arial"/>
        <family val="2"/>
      </rPr>
      <t>8</t>
    </r>
  </si>
  <si>
    <r>
      <rPr>
        <b/>
        <sz val="14"/>
        <rFont val="細明體"/>
        <family val="3"/>
        <charset val="136"/>
      </rPr>
      <t>黑</t>
    </r>
    <r>
      <rPr>
        <b/>
        <sz val="14"/>
        <rFont val="Arial"/>
        <family val="2"/>
      </rPr>
      <t>9</t>
    </r>
    <phoneticPr fontId="27" type="noConversion"/>
  </si>
  <si>
    <r>
      <rPr>
        <b/>
        <sz val="14"/>
        <rFont val="細明體"/>
        <family val="3"/>
        <charset val="136"/>
      </rPr>
      <t>白</t>
    </r>
    <r>
      <rPr>
        <b/>
        <sz val="14"/>
        <rFont val="Arial"/>
        <family val="2"/>
      </rPr>
      <t>9</t>
    </r>
    <phoneticPr fontId="27" type="noConversion"/>
  </si>
  <si>
    <t>Jewelry Sets</t>
    <phoneticPr fontId="27" type="noConversion"/>
  </si>
  <si>
    <t>Necklace Pendant</t>
    <phoneticPr fontId="27" type="noConversion"/>
  </si>
  <si>
    <t>Creamation Pendant Necklace Pendant Necklace</t>
  </si>
  <si>
    <t>BANGLE</t>
    <phoneticPr fontId="27" type="noConversion"/>
  </si>
  <si>
    <t>neCKLACE</t>
    <phoneticPr fontId="27" type="noConversion"/>
  </si>
  <si>
    <t>JEWELRY SETS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</si>
</sst>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0_);[Red]\(0\)"/>
  </numFmts>
  <fonts count="46">
    <font>
      <sz val="12"/>
      <color theme="1"/>
      <name val="新細明體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name val="Arial"/>
      <family val="2"/>
    </font>
    <font>
      <b/>
      <sz val="12"/>
      <color indexed="17"/>
      <name val="Microsoft YaHei"/>
      <family val="2"/>
      <charset val="134"/>
    </font>
    <font>
      <sz val="14"/>
      <color theme="1"/>
      <name val="新細明體"/>
      <family val="1"/>
      <charset val="136"/>
      <scheme val="major"/>
    </font>
    <font>
      <sz val="14"/>
      <color rgb="FF666666"/>
      <name val="新細明體"/>
      <family val="1"/>
      <charset val="136"/>
      <scheme val="major"/>
    </font>
    <font>
      <u/>
      <sz val="16"/>
      <color indexed="12"/>
      <name val="宋体"/>
      <family val="3"/>
      <charset val="136"/>
    </font>
    <font>
      <sz val="11"/>
      <name val="Microsoft YaHei"/>
      <family val="2"/>
      <charset val="134"/>
    </font>
    <font>
      <sz val="14"/>
      <color rgb="FF000000"/>
      <name val="新細明體"/>
      <family val="1"/>
      <charset val="136"/>
      <scheme val="major"/>
    </font>
    <font>
      <sz val="16"/>
      <color rgb="FF11111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8"/>
      <name val="Arial"/>
      <family val="2"/>
    </font>
    <font>
      <b/>
      <sz val="10"/>
      <color indexed="12"/>
      <name val="Microsoft YaHei"/>
      <family val="2"/>
      <charset val="134"/>
    </font>
    <font>
      <b/>
      <sz val="12"/>
      <color indexed="12"/>
      <name val="Arial"/>
      <family val="2"/>
    </font>
    <font>
      <u/>
      <sz val="12"/>
      <color indexed="12"/>
      <name val="宋体"/>
      <charset val="136"/>
    </font>
    <font>
      <sz val="12"/>
      <color rgb="FF111111"/>
      <name val="Arial"/>
      <family val="2"/>
    </font>
    <font>
      <b/>
      <sz val="14"/>
      <name val="Arial"/>
      <family val="2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4"/>
      <color rgb="FF000000"/>
      <name val="Verdana"/>
      <family val="2"/>
    </font>
    <font>
      <u/>
      <sz val="16"/>
      <color indexed="12"/>
      <name val="宋体"/>
      <charset val="136"/>
    </font>
    <font>
      <sz val="11"/>
      <color indexed="8"/>
      <name val="新細明體"/>
      <family val="1"/>
      <charset val="136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  <scheme val="minor"/>
    </font>
    <font>
      <sz val="16"/>
      <color rgb="FF666666"/>
      <name val="Arial"/>
      <family val="2"/>
    </font>
    <font>
      <sz val="14"/>
      <color rgb="FF666666"/>
      <name val="Arial"/>
      <family val="2"/>
    </font>
    <font>
      <u/>
      <sz val="12"/>
      <color indexed="12"/>
      <name val="宋体"/>
      <family val="3"/>
      <charset val="136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rgb="FF333333"/>
      <name val="Arial"/>
      <family val="2"/>
    </font>
    <font>
      <b/>
      <sz val="14"/>
      <color indexed="17"/>
      <name val="Arial"/>
      <family val="2"/>
    </font>
    <font>
      <sz val="14"/>
      <name val="Arial"/>
      <family val="2"/>
    </font>
    <font>
      <sz val="14"/>
      <color indexed="17"/>
      <name val="Arial"/>
      <family val="2"/>
    </font>
    <font>
      <sz val="14"/>
      <name val="細明體"/>
      <family val="3"/>
      <charset val="136"/>
    </font>
    <font>
      <sz val="14"/>
      <name val="宋体"/>
      <charset val="136"/>
    </font>
    <font>
      <u/>
      <sz val="14"/>
      <color indexed="12"/>
      <name val="Arial"/>
      <family val="2"/>
    </font>
    <font>
      <sz val="14"/>
      <color rgb="FF111111"/>
      <name val="Arial"/>
      <family val="2"/>
    </font>
    <font>
      <sz val="14"/>
      <color rgb="FF0F1111"/>
      <name val="Arial"/>
      <family val="2"/>
    </font>
    <font>
      <sz val="14"/>
      <color indexed="8"/>
      <name val="Arial"/>
      <family val="2"/>
    </font>
    <font>
      <sz val="14"/>
      <color rgb="FFAAB7B8"/>
      <name val="Arial"/>
      <family val="2"/>
    </font>
    <font>
      <b/>
      <sz val="14"/>
      <name val="細明體"/>
      <family val="3"/>
      <charset val="136"/>
    </font>
    <font>
      <b/>
      <sz val="14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DF5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7E7E7"/>
      </left>
      <right/>
      <top style="medium">
        <color rgb="FFEAEAEA"/>
      </top>
      <bottom/>
      <diagonal/>
    </border>
    <border>
      <left/>
      <right style="medium">
        <color rgb="FFE7E7E7"/>
      </right>
      <top style="medium">
        <color rgb="FFEAEAEA"/>
      </top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4" fillId="0" borderId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77" fontId="3" fillId="0" borderId="1" xfId="2" applyNumberFormat="1" applyFont="1" applyFill="1" applyBorder="1" applyAlignment="1">
      <alignment horizontal="right"/>
    </xf>
    <xf numFmtId="0" fontId="7" fillId="0" borderId="1" xfId="1" applyFont="1" applyBorder="1" applyAlignment="1" applyProtection="1"/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/>
    <xf numFmtId="0" fontId="10" fillId="4" borderId="1" xfId="0" applyFont="1" applyFill="1" applyBorder="1" applyAlignment="1"/>
    <xf numFmtId="177" fontId="11" fillId="4" borderId="1" xfId="0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vertical="center"/>
    </xf>
    <xf numFmtId="0" fontId="10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/>
    <xf numFmtId="177" fontId="3" fillId="4" borderId="1" xfId="2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177" fontId="12" fillId="0" borderId="1" xfId="2" applyNumberFormat="1" applyFont="1" applyFill="1" applyBorder="1" applyAlignment="1"/>
    <xf numFmtId="177" fontId="13" fillId="0" borderId="1" xfId="2" applyNumberFormat="1" applyFont="1" applyFill="1" applyBorder="1" applyAlignment="1"/>
    <xf numFmtId="0" fontId="6" fillId="0" borderId="0" xfId="0" applyFont="1" applyBorder="1" applyAlignment="1">
      <alignment horizontal="center" vertical="center"/>
    </xf>
    <xf numFmtId="177" fontId="8" fillId="4" borderId="1" xfId="2" applyNumberFormat="1" applyFont="1" applyFill="1" applyBorder="1" applyAlignment="1">
      <alignment horizontal="right" wrapText="1"/>
    </xf>
    <xf numFmtId="0" fontId="16" fillId="4" borderId="1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4" fillId="0" borderId="1" xfId="2" applyNumberFormat="1" applyFont="1" applyFill="1" applyBorder="1" applyAlignment="1">
      <alignment horizontal="right" vertical="center" wrapText="1"/>
    </xf>
    <xf numFmtId="0" fontId="17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right" vertical="center"/>
    </xf>
    <xf numFmtId="0" fontId="17" fillId="0" borderId="1" xfId="2" applyFont="1" applyFill="1" applyBorder="1" applyAlignment="1">
      <alignment horizontal="center" vertical="center" wrapText="1"/>
    </xf>
    <xf numFmtId="0" fontId="18" fillId="4" borderId="1" xfId="1" applyFill="1" applyBorder="1" applyAlignment="1" applyProtection="1"/>
    <xf numFmtId="0" fontId="17" fillId="4" borderId="1" xfId="2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7" fillId="6" borderId="1" xfId="2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2" fillId="4" borderId="1" xfId="2" applyNumberFormat="1" applyFont="1" applyFill="1" applyBorder="1" applyAlignment="1"/>
    <xf numFmtId="0" fontId="7" fillId="4" borderId="1" xfId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/>
    <xf numFmtId="0" fontId="17" fillId="4" borderId="1" xfId="2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5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7" fillId="5" borderId="1" xfId="1" applyFont="1" applyFill="1" applyBorder="1" applyAlignment="1" applyProtection="1">
      <alignment vertical="center"/>
    </xf>
    <xf numFmtId="177" fontId="3" fillId="5" borderId="1" xfId="2" applyNumberFormat="1" applyFont="1" applyFill="1" applyBorder="1" applyAlignment="1">
      <alignment horizontal="right"/>
    </xf>
    <xf numFmtId="177" fontId="13" fillId="5" borderId="1" xfId="2" applyNumberFormat="1" applyFont="1" applyFill="1" applyBorder="1" applyAlignment="1"/>
    <xf numFmtId="0" fontId="17" fillId="2" borderId="1" xfId="2" applyFont="1" applyFill="1" applyBorder="1" applyAlignment="1">
      <alignment horizontal="center" vertical="center"/>
    </xf>
    <xf numFmtId="0" fontId="17" fillId="5" borderId="1" xfId="2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22" fillId="0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3" fillId="6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19" fillId="4" borderId="1" xfId="0" applyFont="1" applyFill="1" applyBorder="1" applyAlignment="1"/>
    <xf numFmtId="0" fontId="0" fillId="4" borderId="1" xfId="0" applyFill="1" applyBorder="1">
      <alignment vertical="center"/>
    </xf>
    <xf numFmtId="0" fontId="7" fillId="4" borderId="1" xfId="1" applyFont="1" applyFill="1" applyBorder="1" applyAlignment="1" applyProtection="1">
      <alignment wrapText="1"/>
    </xf>
    <xf numFmtId="0" fontId="18" fillId="0" borderId="1" xfId="1" applyFill="1" applyBorder="1" applyAlignment="1" applyProtection="1">
      <alignment horizontal="center" vertical="center"/>
    </xf>
    <xf numFmtId="0" fontId="28" fillId="0" borderId="0" xfId="0" applyFont="1">
      <alignment vertical="center"/>
    </xf>
    <xf numFmtId="0" fontId="24" fillId="0" borderId="0" xfId="1" applyFont="1" applyAlignment="1" applyProtection="1">
      <alignment vertical="center"/>
    </xf>
    <xf numFmtId="0" fontId="29" fillId="0" borderId="1" xfId="0" applyFont="1" applyBorder="1">
      <alignment vertical="center"/>
    </xf>
    <xf numFmtId="0" fontId="12" fillId="0" borderId="1" xfId="2" applyFont="1" applyFill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>
      <alignment vertical="center"/>
    </xf>
    <xf numFmtId="0" fontId="34" fillId="4" borderId="1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vertical="center" wrapText="1"/>
    </xf>
    <xf numFmtId="0" fontId="36" fillId="4" borderId="1" xfId="2" applyFont="1" applyFill="1" applyBorder="1" applyAlignment="1">
      <alignment vertical="center" wrapText="1"/>
    </xf>
    <xf numFmtId="177" fontId="35" fillId="4" borderId="1" xfId="2" applyNumberFormat="1" applyFont="1" applyFill="1" applyBorder="1" applyAlignment="1">
      <alignment wrapText="1"/>
    </xf>
    <xf numFmtId="0" fontId="35" fillId="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vertical="center"/>
    </xf>
    <xf numFmtId="0" fontId="39" fillId="0" borderId="1" xfId="1" applyFont="1" applyFill="1" applyBorder="1" applyAlignment="1" applyProtection="1">
      <alignment vertical="center"/>
    </xf>
    <xf numFmtId="177" fontId="20" fillId="0" borderId="1" xfId="2" applyNumberFormat="1" applyFont="1" applyFill="1" applyBorder="1" applyAlignment="1">
      <alignment horizontal="right"/>
    </xf>
    <xf numFmtId="0" fontId="40" fillId="0" borderId="1" xfId="0" applyFont="1" applyBorder="1" applyAlignment="1">
      <alignment horizontal="left" vertical="center"/>
    </xf>
    <xf numFmtId="0" fontId="39" fillId="0" borderId="1" xfId="1" applyFont="1" applyFill="1" applyBorder="1" applyAlignment="1" applyProtection="1"/>
    <xf numFmtId="0" fontId="31" fillId="0" borderId="1" xfId="0" applyFont="1" applyFill="1" applyBorder="1" applyAlignment="1">
      <alignment vertical="center"/>
    </xf>
    <xf numFmtId="0" fontId="31" fillId="0" borderId="1" xfId="0" applyFont="1" applyBorder="1">
      <alignment vertical="center"/>
    </xf>
    <xf numFmtId="0" fontId="41" fillId="0" borderId="1" xfId="0" applyFont="1" applyBorder="1">
      <alignment vertical="center"/>
    </xf>
    <xf numFmtId="0" fontId="40" fillId="0" borderId="1" xfId="0" applyFont="1" applyFill="1" applyBorder="1" applyAlignment="1">
      <alignment horizontal="left" vertical="center"/>
    </xf>
    <xf numFmtId="0" fontId="35" fillId="4" borderId="1" xfId="2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/>
    <xf numFmtId="177" fontId="42" fillId="4" borderId="1" xfId="0" applyNumberFormat="1" applyFont="1" applyFill="1" applyBorder="1" applyAlignment="1">
      <alignment horizontal="right"/>
    </xf>
    <xf numFmtId="0" fontId="20" fillId="0" borderId="1" xfId="2" applyFont="1" applyFill="1" applyBorder="1" applyAlignment="1">
      <alignment vertical="center"/>
    </xf>
    <xf numFmtId="177" fontId="42" fillId="0" borderId="1" xfId="0" applyNumberFormat="1" applyFont="1" applyFill="1" applyBorder="1" applyAlignment="1"/>
    <xf numFmtId="0" fontId="35" fillId="0" borderId="1" xfId="2" applyNumberFormat="1" applyFont="1" applyFill="1" applyBorder="1" applyAlignment="1">
      <alignment horizontal="center" vertical="center" wrapText="1"/>
    </xf>
    <xf numFmtId="177" fontId="42" fillId="0" borderId="1" xfId="0" applyNumberFormat="1" applyFont="1" applyFill="1" applyBorder="1" applyAlignment="1">
      <alignment horizontal="right"/>
    </xf>
    <xf numFmtId="0" fontId="35" fillId="0" borderId="1" xfId="2" applyNumberFormat="1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vertical="center"/>
    </xf>
    <xf numFmtId="177" fontId="20" fillId="4" borderId="1" xfId="2" applyNumberFormat="1" applyFont="1" applyFill="1" applyBorder="1" applyAlignment="1">
      <alignment horizontal="right"/>
    </xf>
    <xf numFmtId="177" fontId="35" fillId="0" borderId="1" xfId="2" applyNumberFormat="1" applyFont="1" applyFill="1" applyBorder="1" applyAlignment="1">
      <alignment horizontal="right" wrapText="1"/>
    </xf>
    <xf numFmtId="177" fontId="35" fillId="0" borderId="1" xfId="2" applyNumberFormat="1" applyFont="1" applyFill="1" applyBorder="1" applyAlignment="1"/>
    <xf numFmtId="0" fontId="42" fillId="0" borderId="1" xfId="3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177" fontId="42" fillId="0" borderId="1" xfId="0" applyNumberFormat="1" applyFont="1" applyBorder="1" applyAlignment="1">
      <alignment horizontal="right"/>
    </xf>
    <xf numFmtId="0" fontId="31" fillId="2" borderId="1" xfId="0" applyFont="1" applyFill="1" applyBorder="1" applyAlignment="1">
      <alignment vertical="center"/>
    </xf>
    <xf numFmtId="0" fontId="40" fillId="0" borderId="1" xfId="0" applyFont="1" applyBorder="1">
      <alignment vertical="center"/>
    </xf>
    <xf numFmtId="0" fontId="31" fillId="0" borderId="1" xfId="0" applyFont="1" applyFill="1" applyBorder="1" applyAlignment="1"/>
    <xf numFmtId="0" fontId="20" fillId="4" borderId="1" xfId="2" applyFont="1" applyFill="1" applyBorder="1" applyAlignment="1">
      <alignment vertical="center"/>
    </xf>
    <xf numFmtId="0" fontId="31" fillId="3" borderId="1" xfId="0" applyFont="1" applyFill="1" applyBorder="1" applyAlignment="1">
      <alignment vertical="center"/>
    </xf>
    <xf numFmtId="177" fontId="35" fillId="4" borderId="1" xfId="2" applyNumberFormat="1" applyFont="1" applyFill="1" applyBorder="1" applyAlignment="1">
      <alignment horizontal="right" wrapText="1"/>
    </xf>
    <xf numFmtId="177" fontId="35" fillId="4" borderId="1" xfId="2" applyNumberFormat="1" applyFont="1" applyFill="1" applyBorder="1" applyAlignment="1"/>
    <xf numFmtId="0" fontId="20" fillId="3" borderId="1" xfId="2" applyFont="1" applyFill="1" applyBorder="1" applyAlignment="1">
      <alignment vertical="center"/>
    </xf>
    <xf numFmtId="0" fontId="29" fillId="0" borderId="1" xfId="0" applyFont="1" applyFill="1" applyBorder="1">
      <alignment vertical="center"/>
    </xf>
    <xf numFmtId="177" fontId="42" fillId="2" borderId="1" xfId="0" applyNumberFormat="1" applyFont="1" applyFill="1" applyBorder="1" applyAlignment="1">
      <alignment horizontal="right"/>
    </xf>
    <xf numFmtId="0" fontId="43" fillId="0" borderId="1" xfId="0" applyFont="1" applyBorder="1">
      <alignment vertical="center"/>
    </xf>
    <xf numFmtId="0" fontId="40" fillId="0" borderId="1" xfId="0" applyFont="1" applyFill="1" applyBorder="1" applyAlignment="1">
      <alignment wrapText="1"/>
    </xf>
    <xf numFmtId="0" fontId="20" fillId="0" borderId="1" xfId="2" applyFont="1" applyFill="1" applyBorder="1" applyAlignment="1">
      <alignment horizontal="left" vertical="center" wrapText="1"/>
    </xf>
    <xf numFmtId="0" fontId="42" fillId="4" borderId="1" xfId="3" applyFont="1" applyFill="1" applyBorder="1" applyAlignment="1">
      <alignment horizontal="center" vertical="center"/>
    </xf>
    <xf numFmtId="177" fontId="31" fillId="0" borderId="1" xfId="0" applyNumberFormat="1" applyFont="1" applyBorder="1" applyAlignment="1"/>
    <xf numFmtId="177" fontId="42" fillId="4" borderId="1" xfId="0" applyNumberFormat="1" applyFont="1" applyFill="1" applyBorder="1" applyAlignment="1"/>
    <xf numFmtId="0" fontId="40" fillId="0" borderId="1" xfId="0" applyFont="1" applyFill="1" applyBorder="1">
      <alignment vertical="center"/>
    </xf>
    <xf numFmtId="0" fontId="29" fillId="0" borderId="0" xfId="0" applyFont="1">
      <alignment vertical="center"/>
    </xf>
    <xf numFmtId="0" fontId="39" fillId="0" borderId="1" xfId="1" applyFont="1" applyFill="1" applyBorder="1" applyAlignment="1" applyProtection="1">
      <alignment wrapText="1"/>
    </xf>
    <xf numFmtId="0" fontId="31" fillId="0" borderId="1" xfId="0" applyFont="1" applyFill="1" applyBorder="1">
      <alignment vertical="center"/>
    </xf>
    <xf numFmtId="0" fontId="29" fillId="7" borderId="2" xfId="0" applyFont="1" applyFill="1" applyBorder="1" applyAlignment="1">
      <alignment horizontal="left" vertical="center" wrapText="1"/>
    </xf>
    <xf numFmtId="0" fontId="41" fillId="7" borderId="3" xfId="0" applyFont="1" applyFill="1" applyBorder="1" applyAlignment="1">
      <alignment horizontal="center" vertical="top" wrapText="1"/>
    </xf>
    <xf numFmtId="0" fontId="45" fillId="0" borderId="1" xfId="2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31" fillId="4" borderId="1" xfId="0" applyFont="1" applyFill="1" applyBorder="1">
      <alignment vertical="center"/>
    </xf>
    <xf numFmtId="0" fontId="34" fillId="4" borderId="1" xfId="2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5" fillId="4" borderId="1" xfId="2" applyNumberFormat="1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left" vertical="center"/>
    </xf>
    <xf numFmtId="0" fontId="42" fillId="0" borderId="1" xfId="3" applyFont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/>
    </xf>
    <xf numFmtId="0" fontId="20" fillId="3" borderId="1" xfId="2" applyFont="1" applyFill="1" applyBorder="1" applyAlignment="1">
      <alignment horizontal="left" vertical="center"/>
    </xf>
    <xf numFmtId="0" fontId="42" fillId="4" borderId="1" xfId="3" applyFont="1" applyFill="1" applyBorder="1" applyAlignment="1">
      <alignment horizontal="left" vertical="center"/>
    </xf>
  </cellXfs>
  <cellStyles count="6">
    <cellStyle name="Hyperlink" xfId="1" builtinId="8"/>
    <cellStyle name="Normal" xfId="0" builtinId="0"/>
    <cellStyle name="一般 2" xfId="3"/>
    <cellStyle name="一般 3" xfId="4"/>
    <cellStyle name="常规_Sheet2 (2)" xfId="2"/>
    <cellStyle name="超連結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tmp"/><Relationship Id="rId629" Type="http://schemas.openxmlformats.org/officeDocument/2006/relationships/image" Target="../media/image629.tmp"/><Relationship Id="rId170" Type="http://schemas.openxmlformats.org/officeDocument/2006/relationships/image" Target="../media/image170.jpe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png"/><Relationship Id="rId640" Type="http://schemas.openxmlformats.org/officeDocument/2006/relationships/image" Target="../media/image640.tmp"/><Relationship Id="rId682" Type="http://schemas.openxmlformats.org/officeDocument/2006/relationships/image" Target="../media/image682.png"/><Relationship Id="rId738" Type="http://schemas.openxmlformats.org/officeDocument/2006/relationships/image" Target="../media/image73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emf"/><Relationship Id="rId335" Type="http://schemas.openxmlformats.org/officeDocument/2006/relationships/image" Target="../media/image335.jpe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tmp"/><Relationship Id="rId5" Type="http://schemas.openxmlformats.org/officeDocument/2006/relationships/image" Target="../media/image5.png"/><Relationship Id="rId181" Type="http://schemas.openxmlformats.org/officeDocument/2006/relationships/image" Target="../media/image181.jpe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jpe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tmp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749" Type="http://schemas.openxmlformats.org/officeDocument/2006/relationships/image" Target="../media/image74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tmp"/><Relationship Id="rId760" Type="http://schemas.openxmlformats.org/officeDocument/2006/relationships/image" Target="../media/image760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tmp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tmp"/><Relationship Id="rId662" Type="http://schemas.openxmlformats.org/officeDocument/2006/relationships/image" Target="../media/image662.tmp"/><Relationship Id="rId718" Type="http://schemas.openxmlformats.org/officeDocument/2006/relationships/image" Target="../media/image71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259" Type="http://schemas.openxmlformats.org/officeDocument/2006/relationships/image" Target="../media/image259.png"/><Relationship Id="rId424" Type="http://schemas.openxmlformats.org/officeDocument/2006/relationships/image" Target="../media/image424.jpeg"/><Relationship Id="rId466" Type="http://schemas.openxmlformats.org/officeDocument/2006/relationships/image" Target="../media/image466.png"/><Relationship Id="rId631" Type="http://schemas.openxmlformats.org/officeDocument/2006/relationships/image" Target="../media/image631.tmp"/><Relationship Id="rId673" Type="http://schemas.openxmlformats.org/officeDocument/2006/relationships/image" Target="../media/image673.png"/><Relationship Id="rId729" Type="http://schemas.openxmlformats.org/officeDocument/2006/relationships/image" Target="../media/image72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emf"/><Relationship Id="rId130" Type="http://schemas.openxmlformats.org/officeDocument/2006/relationships/image" Target="../media/image130.emf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40" Type="http://schemas.openxmlformats.org/officeDocument/2006/relationships/image" Target="../media/image740.png"/><Relationship Id="rId172" Type="http://schemas.openxmlformats.org/officeDocument/2006/relationships/image" Target="../media/image172.jpe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tmp"/><Relationship Id="rId642" Type="http://schemas.openxmlformats.org/officeDocument/2006/relationships/image" Target="../media/image642.tmp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jpeg"/><Relationship Id="rId502" Type="http://schemas.openxmlformats.org/officeDocument/2006/relationships/image" Target="../media/image502.png"/><Relationship Id="rId34" Type="http://schemas.openxmlformats.org/officeDocument/2006/relationships/image" Target="../media/image34.jpe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51" Type="http://schemas.openxmlformats.org/officeDocument/2006/relationships/image" Target="../media/image751.png"/><Relationship Id="rId7" Type="http://schemas.openxmlformats.org/officeDocument/2006/relationships/image" Target="../media/image7.png"/><Relationship Id="rId183" Type="http://schemas.openxmlformats.org/officeDocument/2006/relationships/image" Target="../media/image183.jpe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tmp"/><Relationship Id="rId653" Type="http://schemas.openxmlformats.org/officeDocument/2006/relationships/image" Target="../media/image653.tmp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13" Type="http://schemas.openxmlformats.org/officeDocument/2006/relationships/image" Target="../media/image513.png"/><Relationship Id="rId555" Type="http://schemas.openxmlformats.org/officeDocument/2006/relationships/image" Target="../media/image555.jpeg"/><Relationship Id="rId597" Type="http://schemas.openxmlformats.org/officeDocument/2006/relationships/image" Target="../media/image597.tmp"/><Relationship Id="rId720" Type="http://schemas.openxmlformats.org/officeDocument/2006/relationships/image" Target="../media/image720.png"/><Relationship Id="rId762" Type="http://schemas.openxmlformats.org/officeDocument/2006/relationships/image" Target="../media/image762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tmp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tmp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21" Type="http://schemas.openxmlformats.org/officeDocument/2006/relationships/image" Target="../media/image121.emf"/><Relationship Id="rId163" Type="http://schemas.openxmlformats.org/officeDocument/2006/relationships/image" Target="../media/image163.jpe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tmp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emf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png"/><Relationship Id="rId577" Type="http://schemas.openxmlformats.org/officeDocument/2006/relationships/image" Target="../media/image577.tmp"/><Relationship Id="rId700" Type="http://schemas.openxmlformats.org/officeDocument/2006/relationships/image" Target="../media/image700.png"/><Relationship Id="rId742" Type="http://schemas.openxmlformats.org/officeDocument/2006/relationships/image" Target="../media/image742.png"/><Relationship Id="rId132" Type="http://schemas.openxmlformats.org/officeDocument/2006/relationships/image" Target="../media/image132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png"/><Relationship Id="rId602" Type="http://schemas.openxmlformats.org/officeDocument/2006/relationships/image" Target="../media/image602.tmp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tmp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jpe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11" Type="http://schemas.openxmlformats.org/officeDocument/2006/relationships/image" Target="../media/image711.png"/><Relationship Id="rId753" Type="http://schemas.openxmlformats.org/officeDocument/2006/relationships/image" Target="../media/image753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tmp"/><Relationship Id="rId655" Type="http://schemas.openxmlformats.org/officeDocument/2006/relationships/image" Target="../media/image655.tmp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tmp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tmp"/><Relationship Id="rId666" Type="http://schemas.openxmlformats.org/officeDocument/2006/relationships/image" Target="../media/image666.tmp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jpe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emf"/><Relationship Id="rId330" Type="http://schemas.openxmlformats.org/officeDocument/2006/relationships/image" Target="../media/image330.jpeg"/><Relationship Id="rId568" Type="http://schemas.openxmlformats.org/officeDocument/2006/relationships/image" Target="../media/image568.tmp"/><Relationship Id="rId733" Type="http://schemas.openxmlformats.org/officeDocument/2006/relationships/image" Target="../media/image733.png"/><Relationship Id="rId165" Type="http://schemas.openxmlformats.org/officeDocument/2006/relationships/image" Target="../media/image165.jpe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tmp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4" Type="http://schemas.openxmlformats.org/officeDocument/2006/relationships/image" Target="../media/image274.jpe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27" Type="http://schemas.openxmlformats.org/officeDocument/2006/relationships/image" Target="../media/image27.png"/><Relationship Id="rId69" Type="http://schemas.openxmlformats.org/officeDocument/2006/relationships/image" Target="../media/image69.emf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tmp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tmp"/><Relationship Id="rId646" Type="http://schemas.openxmlformats.org/officeDocument/2006/relationships/image" Target="../media/image646.tmp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jpeg"/><Relationship Id="rId713" Type="http://schemas.openxmlformats.org/officeDocument/2006/relationships/image" Target="../media/image713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tmp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tmp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724" Type="http://schemas.openxmlformats.org/officeDocument/2006/relationships/image" Target="../media/image724.png"/><Relationship Id="rId766" Type="http://schemas.openxmlformats.org/officeDocument/2006/relationships/image" Target="../media/image766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tmp"/><Relationship Id="rId626" Type="http://schemas.openxmlformats.org/officeDocument/2006/relationships/image" Target="../media/image626.tmp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25" Type="http://schemas.openxmlformats.org/officeDocument/2006/relationships/image" Target="../media/image125.emf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png"/><Relationship Id="rId581" Type="http://schemas.openxmlformats.org/officeDocument/2006/relationships/image" Target="../media/image581.tmp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tmp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jpe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746" Type="http://schemas.openxmlformats.org/officeDocument/2006/relationships/image" Target="../media/image746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jpeg"/><Relationship Id="rId301" Type="http://schemas.openxmlformats.org/officeDocument/2006/relationships/image" Target="../media/image301.png"/><Relationship Id="rId343" Type="http://schemas.openxmlformats.org/officeDocument/2006/relationships/image" Target="../media/image343.jpe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592" Type="http://schemas.openxmlformats.org/officeDocument/2006/relationships/image" Target="../media/image592.png"/><Relationship Id="rId606" Type="http://schemas.openxmlformats.org/officeDocument/2006/relationships/image" Target="../media/image606.tmp"/><Relationship Id="rId648" Type="http://schemas.openxmlformats.org/officeDocument/2006/relationships/image" Target="../media/image648.tmp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05" Type="http://schemas.openxmlformats.org/officeDocument/2006/relationships/image" Target="../media/image105.png"/><Relationship Id="rId147" Type="http://schemas.openxmlformats.org/officeDocument/2006/relationships/image" Target="../media/image147.jpe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757" Type="http://schemas.openxmlformats.org/officeDocument/2006/relationships/image" Target="../media/image757.png"/><Relationship Id="rId51" Type="http://schemas.openxmlformats.org/officeDocument/2006/relationships/image" Target="../media/image51.jpe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tmp"/><Relationship Id="rId659" Type="http://schemas.openxmlformats.org/officeDocument/2006/relationships/image" Target="../media/image659.tmp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26" Type="http://schemas.openxmlformats.org/officeDocument/2006/relationships/image" Target="../media/image726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tmp"/><Relationship Id="rId628" Type="http://schemas.openxmlformats.org/officeDocument/2006/relationships/image" Target="../media/image628.tmp"/><Relationship Id="rId225" Type="http://schemas.openxmlformats.org/officeDocument/2006/relationships/image" Target="../media/image225.pn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emf"/><Relationship Id="rId681" Type="http://schemas.openxmlformats.org/officeDocument/2006/relationships/image" Target="../media/image681.png"/><Relationship Id="rId737" Type="http://schemas.openxmlformats.org/officeDocument/2006/relationships/image" Target="../media/image737.png"/><Relationship Id="rId31" Type="http://schemas.openxmlformats.org/officeDocument/2006/relationships/image" Target="../media/image31.jpeg"/><Relationship Id="rId73" Type="http://schemas.openxmlformats.org/officeDocument/2006/relationships/image" Target="../media/image73.pn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png"/><Relationship Id="rId541" Type="http://schemas.openxmlformats.org/officeDocument/2006/relationships/image" Target="../media/image541.jpeg"/><Relationship Id="rId583" Type="http://schemas.openxmlformats.org/officeDocument/2006/relationships/image" Target="../media/image583.tmp"/><Relationship Id="rId639" Type="http://schemas.openxmlformats.org/officeDocument/2006/relationships/image" Target="../media/image639.tmp"/><Relationship Id="rId4" Type="http://schemas.openxmlformats.org/officeDocument/2006/relationships/image" Target="../media/image4.png"/><Relationship Id="rId180" Type="http://schemas.openxmlformats.org/officeDocument/2006/relationships/image" Target="../media/image180.jpeg"/><Relationship Id="rId236" Type="http://schemas.openxmlformats.org/officeDocument/2006/relationships/image" Target="../media/image236.png"/><Relationship Id="rId278" Type="http://schemas.openxmlformats.org/officeDocument/2006/relationships/image" Target="../media/image278.jpe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tmp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748" Type="http://schemas.openxmlformats.org/officeDocument/2006/relationships/image" Target="../media/image74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jpeg"/><Relationship Id="rId608" Type="http://schemas.openxmlformats.org/officeDocument/2006/relationships/image" Target="../media/image608.tmp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tmp"/><Relationship Id="rId717" Type="http://schemas.openxmlformats.org/officeDocument/2006/relationships/image" Target="../media/image717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tmp"/><Relationship Id="rId770" Type="http://schemas.openxmlformats.org/officeDocument/2006/relationships/image" Target="../media/image77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jpe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tmp"/><Relationship Id="rId672" Type="http://schemas.openxmlformats.org/officeDocument/2006/relationships/image" Target="../media/image672.png"/><Relationship Id="rId728" Type="http://schemas.openxmlformats.org/officeDocument/2006/relationships/image" Target="../media/image72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tmp"/><Relationship Id="rId171" Type="http://schemas.openxmlformats.org/officeDocument/2006/relationships/image" Target="../media/image171.jpeg"/><Relationship Id="rId227" Type="http://schemas.openxmlformats.org/officeDocument/2006/relationships/image" Target="../media/image227.pn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tmp"/><Relationship Id="rId683" Type="http://schemas.openxmlformats.org/officeDocument/2006/relationships/image" Target="../media/image683.png"/><Relationship Id="rId739" Type="http://schemas.openxmlformats.org/officeDocument/2006/relationships/image" Target="../media/image739.png"/><Relationship Id="rId33" Type="http://schemas.openxmlformats.org/officeDocument/2006/relationships/image" Target="../media/image33.jpeg"/><Relationship Id="rId129" Type="http://schemas.openxmlformats.org/officeDocument/2006/relationships/image" Target="../media/image129.emf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jpe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tmp"/><Relationship Id="rId750" Type="http://schemas.openxmlformats.org/officeDocument/2006/relationships/image" Target="../media/image750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tmp"/><Relationship Id="rId652" Type="http://schemas.openxmlformats.org/officeDocument/2006/relationships/image" Target="../media/image652.tmp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jpe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png"/><Relationship Id="rId596" Type="http://schemas.openxmlformats.org/officeDocument/2006/relationships/image" Target="../media/image596.tmp"/><Relationship Id="rId761" Type="http://schemas.openxmlformats.org/officeDocument/2006/relationships/image" Target="../media/image76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tmp"/><Relationship Id="rId663" Type="http://schemas.openxmlformats.org/officeDocument/2006/relationships/image" Target="../media/image663.tmp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emf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jpeg"/><Relationship Id="rId467" Type="http://schemas.openxmlformats.org/officeDocument/2006/relationships/image" Target="../media/image467.png"/><Relationship Id="rId632" Type="http://schemas.openxmlformats.org/officeDocument/2006/relationships/image" Target="../media/image632.tmp"/><Relationship Id="rId271" Type="http://schemas.openxmlformats.org/officeDocument/2006/relationships/image" Target="../media/image271.jpe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emf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173" Type="http://schemas.openxmlformats.org/officeDocument/2006/relationships/image" Target="../media/image173.jpe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tmp"/><Relationship Id="rId643" Type="http://schemas.openxmlformats.org/officeDocument/2006/relationships/image" Target="../media/image643.tmp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jpe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jpe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tmp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tmp"/><Relationship Id="rId696" Type="http://schemas.openxmlformats.org/officeDocument/2006/relationships/image" Target="../media/image696.png"/><Relationship Id="rId46" Type="http://schemas.openxmlformats.org/officeDocument/2006/relationships/image" Target="../media/image46.emf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jpe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tmp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tmp"/><Relationship Id="rId665" Type="http://schemas.openxmlformats.org/officeDocument/2006/relationships/image" Target="../media/image665.tmp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emf"/><Relationship Id="rId164" Type="http://schemas.openxmlformats.org/officeDocument/2006/relationships/image" Target="../media/image164.jpe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tmp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emf"/><Relationship Id="rId133" Type="http://schemas.openxmlformats.org/officeDocument/2006/relationships/image" Target="../media/image133.pn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tmp"/><Relationship Id="rId743" Type="http://schemas.openxmlformats.org/officeDocument/2006/relationships/image" Target="../media/image743.pn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38" Type="http://schemas.openxmlformats.org/officeDocument/2006/relationships/image" Target="../media/image438.png"/><Relationship Id="rId603" Type="http://schemas.openxmlformats.org/officeDocument/2006/relationships/image" Target="../media/image603.tmp"/><Relationship Id="rId645" Type="http://schemas.openxmlformats.org/officeDocument/2006/relationships/image" Target="../media/image645.tmp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tmp"/><Relationship Id="rId656" Type="http://schemas.openxmlformats.org/officeDocument/2006/relationships/image" Target="../media/image656.tmp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tmp"/><Relationship Id="rId222" Type="http://schemas.openxmlformats.org/officeDocument/2006/relationships/image" Target="../media/image222.png"/><Relationship Id="rId264" Type="http://schemas.openxmlformats.org/officeDocument/2006/relationships/image" Target="../media/image264.jpeg"/><Relationship Id="rId471" Type="http://schemas.openxmlformats.org/officeDocument/2006/relationships/image" Target="../media/image471.png"/><Relationship Id="rId667" Type="http://schemas.openxmlformats.org/officeDocument/2006/relationships/image" Target="../media/image667.tmp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emf"/><Relationship Id="rId527" Type="http://schemas.openxmlformats.org/officeDocument/2006/relationships/image" Target="../media/image527.png"/><Relationship Id="rId569" Type="http://schemas.openxmlformats.org/officeDocument/2006/relationships/image" Target="../media/image569.tmp"/><Relationship Id="rId734" Type="http://schemas.openxmlformats.org/officeDocument/2006/relationships/image" Target="../media/image734.png"/><Relationship Id="rId70" Type="http://schemas.openxmlformats.org/officeDocument/2006/relationships/image" Target="../media/image70.pn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tmp"/><Relationship Id="rId636" Type="http://schemas.openxmlformats.org/officeDocument/2006/relationships/image" Target="../media/image636.tmp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emf"/><Relationship Id="rId275" Type="http://schemas.openxmlformats.org/officeDocument/2006/relationships/image" Target="../media/image275.jpe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png"/><Relationship Id="rId605" Type="http://schemas.openxmlformats.org/officeDocument/2006/relationships/image" Target="../media/image605.tmp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tmp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jpeg"/><Relationship Id="rId104" Type="http://schemas.openxmlformats.org/officeDocument/2006/relationships/image" Target="../media/image104.png"/><Relationship Id="rId146" Type="http://schemas.openxmlformats.org/officeDocument/2006/relationships/image" Target="../media/image146.jpe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jpe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jpe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tmp"/><Relationship Id="rId658" Type="http://schemas.openxmlformats.org/officeDocument/2006/relationships/image" Target="../media/image658.tmp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tmp"/><Relationship Id="rId627" Type="http://schemas.openxmlformats.org/officeDocument/2006/relationships/image" Target="../media/image627.tmp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emf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tmp"/><Relationship Id="rId638" Type="http://schemas.openxmlformats.org/officeDocument/2006/relationships/image" Target="../media/image638.tmp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jpe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jpe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tmp"/><Relationship Id="rId649" Type="http://schemas.openxmlformats.org/officeDocument/2006/relationships/image" Target="../media/image649.tmp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tmp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jpe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tmp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jpe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4.jpeg"/><Relationship Id="rId13" Type="http://schemas.openxmlformats.org/officeDocument/2006/relationships/image" Target="../media/image772.png"/><Relationship Id="rId18" Type="http://schemas.openxmlformats.org/officeDocument/2006/relationships/image" Target="../media/image32.png"/><Relationship Id="rId26" Type="http://schemas.openxmlformats.org/officeDocument/2006/relationships/image" Target="../media/image138.png"/><Relationship Id="rId3" Type="http://schemas.openxmlformats.org/officeDocument/2006/relationships/image" Target="../media/image343.jpeg"/><Relationship Id="rId21" Type="http://schemas.openxmlformats.org/officeDocument/2006/relationships/image" Target="../media/image437.png"/><Relationship Id="rId34" Type="http://schemas.openxmlformats.org/officeDocument/2006/relationships/image" Target="../media/image280.jpeg"/><Relationship Id="rId7" Type="http://schemas.openxmlformats.org/officeDocument/2006/relationships/image" Target="../media/image28.emf"/><Relationship Id="rId12" Type="http://schemas.openxmlformats.org/officeDocument/2006/relationships/image" Target="../media/image546.png"/><Relationship Id="rId17" Type="http://schemas.openxmlformats.org/officeDocument/2006/relationships/image" Target="../media/image459.png"/><Relationship Id="rId25" Type="http://schemas.openxmlformats.org/officeDocument/2006/relationships/image" Target="../media/image137.png"/><Relationship Id="rId33" Type="http://schemas.openxmlformats.org/officeDocument/2006/relationships/image" Target="../media/image163.jpeg"/><Relationship Id="rId2" Type="http://schemas.openxmlformats.org/officeDocument/2006/relationships/image" Target="../media/image347.jpeg"/><Relationship Id="rId16" Type="http://schemas.openxmlformats.org/officeDocument/2006/relationships/image" Target="../media/image51.jpeg"/><Relationship Id="rId20" Type="http://schemas.openxmlformats.org/officeDocument/2006/relationships/image" Target="../media/image439.png"/><Relationship Id="rId29" Type="http://schemas.openxmlformats.org/officeDocument/2006/relationships/image" Target="../media/image530.png"/><Relationship Id="rId1" Type="http://schemas.openxmlformats.org/officeDocument/2006/relationships/image" Target="../media/image348.jpeg"/><Relationship Id="rId6" Type="http://schemas.openxmlformats.org/officeDocument/2006/relationships/image" Target="../media/image154.png"/><Relationship Id="rId11" Type="http://schemas.openxmlformats.org/officeDocument/2006/relationships/image" Target="../media/image62.png"/><Relationship Id="rId24" Type="http://schemas.openxmlformats.org/officeDocument/2006/relationships/image" Target="../media/image560.jpeg"/><Relationship Id="rId32" Type="http://schemas.openxmlformats.org/officeDocument/2006/relationships/image" Target="../media/image266.jpeg"/><Relationship Id="rId5" Type="http://schemas.openxmlformats.org/officeDocument/2006/relationships/image" Target="../media/image64.png"/><Relationship Id="rId15" Type="http://schemas.openxmlformats.org/officeDocument/2006/relationships/image" Target="../media/image63.png"/><Relationship Id="rId23" Type="http://schemas.openxmlformats.org/officeDocument/2006/relationships/image" Target="../media/image136.png"/><Relationship Id="rId28" Type="http://schemas.openxmlformats.org/officeDocument/2006/relationships/image" Target="../media/image162.png"/><Relationship Id="rId36" Type="http://schemas.openxmlformats.org/officeDocument/2006/relationships/image" Target="../media/image158.png"/><Relationship Id="rId10" Type="http://schemas.openxmlformats.org/officeDocument/2006/relationships/image" Target="../media/image342.jpeg"/><Relationship Id="rId19" Type="http://schemas.openxmlformats.org/officeDocument/2006/relationships/image" Target="../media/image438.png"/><Relationship Id="rId31" Type="http://schemas.openxmlformats.org/officeDocument/2006/relationships/image" Target="../media/image555.jpeg"/><Relationship Id="rId4" Type="http://schemas.openxmlformats.org/officeDocument/2006/relationships/image" Target="../media/image44.png"/><Relationship Id="rId9" Type="http://schemas.openxmlformats.org/officeDocument/2006/relationships/image" Target="../media/image346.jpeg"/><Relationship Id="rId14" Type="http://schemas.openxmlformats.org/officeDocument/2006/relationships/image" Target="../media/image385.jpeg"/><Relationship Id="rId22" Type="http://schemas.openxmlformats.org/officeDocument/2006/relationships/image" Target="../media/image542.png"/><Relationship Id="rId27" Type="http://schemas.openxmlformats.org/officeDocument/2006/relationships/image" Target="../media/image34.jpeg"/><Relationship Id="rId30" Type="http://schemas.openxmlformats.org/officeDocument/2006/relationships/image" Target="../media/image425.jpeg"/><Relationship Id="rId35" Type="http://schemas.openxmlformats.org/officeDocument/2006/relationships/image" Target="../media/image17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192</xdr:row>
      <xdr:rowOff>66675</xdr:rowOff>
    </xdr:from>
    <xdr:to>
      <xdr:col>4</xdr:col>
      <xdr:colOff>885825</xdr:colOff>
      <xdr:row>192</xdr:row>
      <xdr:rowOff>933450</xdr:rowOff>
    </xdr:to>
    <xdr:pic>
      <xdr:nvPicPr>
        <xdr:cNvPr id="4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182302785"/>
          <a:ext cx="6381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39</xdr:row>
      <xdr:rowOff>123825</xdr:rowOff>
    </xdr:from>
    <xdr:to>
      <xdr:col>4</xdr:col>
      <xdr:colOff>1019175</xdr:colOff>
      <xdr:row>39</xdr:row>
      <xdr:rowOff>847725</xdr:rowOff>
    </xdr:to>
    <xdr:pic>
      <xdr:nvPicPr>
        <xdr:cNvPr id="5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86925" y="33838515"/>
          <a:ext cx="895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434</xdr:row>
      <xdr:rowOff>66675</xdr:rowOff>
    </xdr:from>
    <xdr:to>
      <xdr:col>4</xdr:col>
      <xdr:colOff>771525</xdr:colOff>
      <xdr:row>434</xdr:row>
      <xdr:rowOff>847725</xdr:rowOff>
    </xdr:to>
    <xdr:pic>
      <xdr:nvPicPr>
        <xdr:cNvPr id="6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6450" y="333992220"/>
          <a:ext cx="6381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16</xdr:row>
      <xdr:rowOff>85725</xdr:rowOff>
    </xdr:from>
    <xdr:to>
      <xdr:col>4</xdr:col>
      <xdr:colOff>866775</xdr:colOff>
      <xdr:row>16</xdr:row>
      <xdr:rowOff>819150</xdr:rowOff>
    </xdr:to>
    <xdr:pic>
      <xdr:nvPicPr>
        <xdr:cNvPr id="7" name="Picture 5" descr="Screen Clippi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91700" y="9900285"/>
          <a:ext cx="638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153</xdr:row>
      <xdr:rowOff>57150</xdr:rowOff>
    </xdr:from>
    <xdr:to>
      <xdr:col>4</xdr:col>
      <xdr:colOff>781050</xdr:colOff>
      <xdr:row>153</xdr:row>
      <xdr:rowOff>628650</xdr:rowOff>
    </xdr:to>
    <xdr:pic>
      <xdr:nvPicPr>
        <xdr:cNvPr id="10" name="圖片 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86950" y="145671540"/>
          <a:ext cx="457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120</xdr:row>
      <xdr:rowOff>66675</xdr:rowOff>
    </xdr:from>
    <xdr:to>
      <xdr:col>4</xdr:col>
      <xdr:colOff>742950</xdr:colOff>
      <xdr:row>120</xdr:row>
      <xdr:rowOff>685800</xdr:rowOff>
    </xdr:to>
    <xdr:pic>
      <xdr:nvPicPr>
        <xdr:cNvPr id="11" name="圖片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82175" y="111093885"/>
          <a:ext cx="523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71</xdr:row>
      <xdr:rowOff>47625</xdr:rowOff>
    </xdr:from>
    <xdr:to>
      <xdr:col>4</xdr:col>
      <xdr:colOff>876300</xdr:colOff>
      <xdr:row>71</xdr:row>
      <xdr:rowOff>781050</xdr:rowOff>
    </xdr:to>
    <xdr:pic>
      <xdr:nvPicPr>
        <xdr:cNvPr id="12" name="圖片 2873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96475" y="67332225"/>
          <a:ext cx="542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145</xdr:row>
      <xdr:rowOff>47625</xdr:rowOff>
    </xdr:from>
    <xdr:to>
      <xdr:col>4</xdr:col>
      <xdr:colOff>933450</xdr:colOff>
      <xdr:row>145</xdr:row>
      <xdr:rowOff>762000</xdr:rowOff>
    </xdr:to>
    <xdr:pic>
      <xdr:nvPicPr>
        <xdr:cNvPr id="13" name="圖片 2873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136506585"/>
          <a:ext cx="638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20</xdr:row>
      <xdr:rowOff>66675</xdr:rowOff>
    </xdr:from>
    <xdr:to>
      <xdr:col>4</xdr:col>
      <xdr:colOff>866775</xdr:colOff>
      <xdr:row>20</xdr:row>
      <xdr:rowOff>781050</xdr:rowOff>
    </xdr:to>
    <xdr:pic>
      <xdr:nvPicPr>
        <xdr:cNvPr id="14" name="圖片 13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05975" y="13847445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417</xdr:row>
      <xdr:rowOff>180975</xdr:rowOff>
    </xdr:from>
    <xdr:to>
      <xdr:col>4</xdr:col>
      <xdr:colOff>857250</xdr:colOff>
      <xdr:row>417</xdr:row>
      <xdr:rowOff>838200</xdr:rowOff>
    </xdr:to>
    <xdr:pic>
      <xdr:nvPicPr>
        <xdr:cNvPr id="15" name="圖片 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317613030"/>
          <a:ext cx="619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414</xdr:row>
      <xdr:rowOff>171450</xdr:rowOff>
    </xdr:from>
    <xdr:to>
      <xdr:col>4</xdr:col>
      <xdr:colOff>914400</xdr:colOff>
      <xdr:row>414</xdr:row>
      <xdr:rowOff>838200</xdr:rowOff>
    </xdr:to>
    <xdr:pic>
      <xdr:nvPicPr>
        <xdr:cNvPr id="16" name="圖片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82175" y="314551695"/>
          <a:ext cx="695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197</xdr:row>
      <xdr:rowOff>200025</xdr:rowOff>
    </xdr:from>
    <xdr:to>
      <xdr:col>4</xdr:col>
      <xdr:colOff>752475</xdr:colOff>
      <xdr:row>197</xdr:row>
      <xdr:rowOff>819150</xdr:rowOff>
    </xdr:to>
    <xdr:pic>
      <xdr:nvPicPr>
        <xdr:cNvPr id="17" name="圖片 2873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7425" y="187522485"/>
          <a:ext cx="438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16</xdr:row>
      <xdr:rowOff>114300</xdr:rowOff>
    </xdr:from>
    <xdr:to>
      <xdr:col>6</xdr:col>
      <xdr:colOff>1419225</xdr:colOff>
      <xdr:row>16</xdr:row>
      <xdr:rowOff>762000</xdr:rowOff>
    </xdr:to>
    <xdr:pic>
      <xdr:nvPicPr>
        <xdr:cNvPr id="18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50" y="9928860"/>
          <a:ext cx="1247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20</xdr:row>
      <xdr:rowOff>47625</xdr:rowOff>
    </xdr:from>
    <xdr:to>
      <xdr:col>6</xdr:col>
      <xdr:colOff>1333500</xdr:colOff>
      <xdr:row>20</xdr:row>
      <xdr:rowOff>657225</xdr:rowOff>
    </xdr:to>
    <xdr:pic>
      <xdr:nvPicPr>
        <xdr:cNvPr id="19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39475" y="13828395"/>
          <a:ext cx="1266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39</xdr:row>
      <xdr:rowOff>142875</xdr:rowOff>
    </xdr:from>
    <xdr:to>
      <xdr:col>6</xdr:col>
      <xdr:colOff>1543050</xdr:colOff>
      <xdr:row>39</xdr:row>
      <xdr:rowOff>809625</xdr:rowOff>
    </xdr:to>
    <xdr:pic>
      <xdr:nvPicPr>
        <xdr:cNvPr id="21" name="圖片 4" descr="畫面剪輯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33857565"/>
          <a:ext cx="1352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71</xdr:row>
      <xdr:rowOff>95250</xdr:rowOff>
    </xdr:from>
    <xdr:to>
      <xdr:col>6</xdr:col>
      <xdr:colOff>1343025</xdr:colOff>
      <xdr:row>71</xdr:row>
      <xdr:rowOff>685800</xdr:rowOff>
    </xdr:to>
    <xdr:pic>
      <xdr:nvPicPr>
        <xdr:cNvPr id="23" name="圖片 6" descr="畫面剪輯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67379850"/>
          <a:ext cx="1257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120</xdr:row>
      <xdr:rowOff>104775</xdr:rowOff>
    </xdr:from>
    <xdr:to>
      <xdr:col>6</xdr:col>
      <xdr:colOff>1409700</xdr:colOff>
      <xdr:row>120</xdr:row>
      <xdr:rowOff>695325</xdr:rowOff>
    </xdr:to>
    <xdr:pic>
      <xdr:nvPicPr>
        <xdr:cNvPr id="24" name="圖片 7" descr="畫面剪輯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111131985"/>
          <a:ext cx="1209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145</xdr:row>
      <xdr:rowOff>114300</xdr:rowOff>
    </xdr:from>
    <xdr:to>
      <xdr:col>6</xdr:col>
      <xdr:colOff>1371600</xdr:colOff>
      <xdr:row>145</xdr:row>
      <xdr:rowOff>742950</xdr:rowOff>
    </xdr:to>
    <xdr:pic>
      <xdr:nvPicPr>
        <xdr:cNvPr id="25" name="圖片 8" descr="畫面剪輯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39475" y="136573260"/>
          <a:ext cx="1304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153</xdr:row>
      <xdr:rowOff>57150</xdr:rowOff>
    </xdr:from>
    <xdr:to>
      <xdr:col>6</xdr:col>
      <xdr:colOff>1266825</xdr:colOff>
      <xdr:row>153</xdr:row>
      <xdr:rowOff>609600</xdr:rowOff>
    </xdr:to>
    <xdr:pic>
      <xdr:nvPicPr>
        <xdr:cNvPr id="26" name="圖片 9" descr="畫面剪輯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145671540"/>
          <a:ext cx="1143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192</xdr:row>
      <xdr:rowOff>114300</xdr:rowOff>
    </xdr:from>
    <xdr:to>
      <xdr:col>6</xdr:col>
      <xdr:colOff>1323975</xdr:colOff>
      <xdr:row>192</xdr:row>
      <xdr:rowOff>752475</xdr:rowOff>
    </xdr:to>
    <xdr:pic>
      <xdr:nvPicPr>
        <xdr:cNvPr id="28" name="圖片 11" descr="畫面剪輯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10900" y="18235041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197</xdr:row>
      <xdr:rowOff>38100</xdr:rowOff>
    </xdr:from>
    <xdr:to>
      <xdr:col>6</xdr:col>
      <xdr:colOff>1266825</xdr:colOff>
      <xdr:row>197</xdr:row>
      <xdr:rowOff>590550</xdr:rowOff>
    </xdr:to>
    <xdr:pic>
      <xdr:nvPicPr>
        <xdr:cNvPr id="29" name="圖片 12" descr="畫面剪輯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0" y="187360560"/>
          <a:ext cx="1190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414</xdr:row>
      <xdr:rowOff>76200</xdr:rowOff>
    </xdr:from>
    <xdr:to>
      <xdr:col>6</xdr:col>
      <xdr:colOff>1362075</xdr:colOff>
      <xdr:row>414</xdr:row>
      <xdr:rowOff>676275</xdr:rowOff>
    </xdr:to>
    <xdr:pic>
      <xdr:nvPicPr>
        <xdr:cNvPr id="30" name="圖片 13" descr="畫面剪輯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39475" y="314456445"/>
          <a:ext cx="1295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219075</xdr:colOff>
      <xdr:row>417</xdr:row>
      <xdr:rowOff>85725</xdr:rowOff>
    </xdr:from>
    <xdr:to>
      <xdr:col>6</xdr:col>
      <xdr:colOff>1343025</xdr:colOff>
      <xdr:row>417</xdr:row>
      <xdr:rowOff>676275</xdr:rowOff>
    </xdr:to>
    <xdr:pic>
      <xdr:nvPicPr>
        <xdr:cNvPr id="31" name="圖片 14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91875" y="317517780"/>
          <a:ext cx="1123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434</xdr:row>
      <xdr:rowOff>95250</xdr:rowOff>
    </xdr:from>
    <xdr:to>
      <xdr:col>6</xdr:col>
      <xdr:colOff>1247775</xdr:colOff>
      <xdr:row>434</xdr:row>
      <xdr:rowOff>723900</xdr:rowOff>
    </xdr:to>
    <xdr:pic>
      <xdr:nvPicPr>
        <xdr:cNvPr id="33" name="圖片 16" descr="畫面剪輯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0" y="334020795"/>
          <a:ext cx="1171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243</xdr:row>
      <xdr:rowOff>76200</xdr:rowOff>
    </xdr:from>
    <xdr:to>
      <xdr:col>4</xdr:col>
      <xdr:colOff>819150</xdr:colOff>
      <xdr:row>243</xdr:row>
      <xdr:rowOff>771525</xdr:rowOff>
    </xdr:to>
    <xdr:pic>
      <xdr:nvPicPr>
        <xdr:cNvPr id="40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346469970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114</xdr:row>
      <xdr:rowOff>57150</xdr:rowOff>
    </xdr:from>
    <xdr:to>
      <xdr:col>4</xdr:col>
      <xdr:colOff>876300</xdr:colOff>
      <xdr:row>114</xdr:row>
      <xdr:rowOff>847725</xdr:rowOff>
    </xdr:to>
    <xdr:pic>
      <xdr:nvPicPr>
        <xdr:cNvPr id="46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04980740"/>
          <a:ext cx="7048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114</xdr:row>
      <xdr:rowOff>66675</xdr:rowOff>
    </xdr:from>
    <xdr:to>
      <xdr:col>6</xdr:col>
      <xdr:colOff>1581150</xdr:colOff>
      <xdr:row>114</xdr:row>
      <xdr:rowOff>809625</xdr:rowOff>
    </xdr:to>
    <xdr:pic>
      <xdr:nvPicPr>
        <xdr:cNvPr id="47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82350" y="104990265"/>
          <a:ext cx="13716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123</xdr:row>
      <xdr:rowOff>38100</xdr:rowOff>
    </xdr:from>
    <xdr:to>
      <xdr:col>4</xdr:col>
      <xdr:colOff>895350</xdr:colOff>
      <xdr:row>123</xdr:row>
      <xdr:rowOff>752475</xdr:rowOff>
    </xdr:to>
    <xdr:pic>
      <xdr:nvPicPr>
        <xdr:cNvPr id="48" name="圖片 2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25025" y="11411712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23</xdr:row>
      <xdr:rowOff>123825</xdr:rowOff>
    </xdr:from>
    <xdr:to>
      <xdr:col>4</xdr:col>
      <xdr:colOff>1000125</xdr:colOff>
      <xdr:row>23</xdr:row>
      <xdr:rowOff>800100</xdr:rowOff>
    </xdr:to>
    <xdr:pic>
      <xdr:nvPicPr>
        <xdr:cNvPr id="49" name="圖片 2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16853535"/>
          <a:ext cx="885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63</xdr:row>
      <xdr:rowOff>152400</xdr:rowOff>
    </xdr:from>
    <xdr:to>
      <xdr:col>4</xdr:col>
      <xdr:colOff>695325</xdr:colOff>
      <xdr:row>63</xdr:row>
      <xdr:rowOff>704850</xdr:rowOff>
    </xdr:to>
    <xdr:pic>
      <xdr:nvPicPr>
        <xdr:cNvPr id="50" name="圖片 3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58281570"/>
          <a:ext cx="400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144</xdr:row>
      <xdr:rowOff>104775</xdr:rowOff>
    </xdr:from>
    <xdr:to>
      <xdr:col>4</xdr:col>
      <xdr:colOff>942975</xdr:colOff>
      <xdr:row>144</xdr:row>
      <xdr:rowOff>933450</xdr:rowOff>
    </xdr:to>
    <xdr:pic>
      <xdr:nvPicPr>
        <xdr:cNvPr id="52" name="Picture 10353" descr="SET091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135546465"/>
          <a:ext cx="7048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90</xdr:row>
      <xdr:rowOff>114300</xdr:rowOff>
    </xdr:from>
    <xdr:to>
      <xdr:col>4</xdr:col>
      <xdr:colOff>904875</xdr:colOff>
      <xdr:row>90</xdr:row>
      <xdr:rowOff>781050</xdr:rowOff>
    </xdr:to>
    <xdr:pic>
      <xdr:nvPicPr>
        <xdr:cNvPr id="53" name="圖片 19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6450" y="8469249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137</xdr:row>
      <xdr:rowOff>66675</xdr:rowOff>
    </xdr:from>
    <xdr:to>
      <xdr:col>4</xdr:col>
      <xdr:colOff>790575</xdr:colOff>
      <xdr:row>137</xdr:row>
      <xdr:rowOff>885825</xdr:rowOff>
    </xdr:to>
    <xdr:pic>
      <xdr:nvPicPr>
        <xdr:cNvPr id="54" name="Picture 10420" descr="NK170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2064" y="130067562"/>
          <a:ext cx="6096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762000</xdr:colOff>
      <xdr:row>17</xdr:row>
      <xdr:rowOff>104775</xdr:rowOff>
    </xdr:from>
    <xdr:to>
      <xdr:col>4</xdr:col>
      <xdr:colOff>1162050</xdr:colOff>
      <xdr:row>17</xdr:row>
      <xdr:rowOff>866775</xdr:rowOff>
    </xdr:to>
    <xdr:pic>
      <xdr:nvPicPr>
        <xdr:cNvPr id="55" name="Picture 10384" descr="NK171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10936605"/>
          <a:ext cx="400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17</xdr:row>
      <xdr:rowOff>171450</xdr:rowOff>
    </xdr:from>
    <xdr:to>
      <xdr:col>6</xdr:col>
      <xdr:colOff>1533525</xdr:colOff>
      <xdr:row>17</xdr:row>
      <xdr:rowOff>885825</xdr:rowOff>
    </xdr:to>
    <xdr:pic>
      <xdr:nvPicPr>
        <xdr:cNvPr id="56" name="Picture 55" descr="Screen Clippin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50" y="11003280"/>
          <a:ext cx="1362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23</xdr:row>
      <xdr:rowOff>28575</xdr:rowOff>
    </xdr:from>
    <xdr:to>
      <xdr:col>6</xdr:col>
      <xdr:colOff>1447800</xdr:colOff>
      <xdr:row>23</xdr:row>
      <xdr:rowOff>714375</xdr:rowOff>
    </xdr:to>
    <xdr:pic>
      <xdr:nvPicPr>
        <xdr:cNvPr id="57" name="Picture 56" descr="Screen Clippi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16758285"/>
          <a:ext cx="1304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63</xdr:row>
      <xdr:rowOff>85725</xdr:rowOff>
    </xdr:from>
    <xdr:to>
      <xdr:col>6</xdr:col>
      <xdr:colOff>1447800</xdr:colOff>
      <xdr:row>63</xdr:row>
      <xdr:rowOff>781050</xdr:rowOff>
    </xdr:to>
    <xdr:pic>
      <xdr:nvPicPr>
        <xdr:cNvPr id="58" name="Picture 57" descr="Screen Clippi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10925" y="58214895"/>
          <a:ext cx="1209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189140</xdr:colOff>
      <xdr:row>90</xdr:row>
      <xdr:rowOff>85725</xdr:rowOff>
    </xdr:from>
    <xdr:to>
      <xdr:col>6</xdr:col>
      <xdr:colOff>1513115</xdr:colOff>
      <xdr:row>90</xdr:row>
      <xdr:rowOff>771525</xdr:rowOff>
    </xdr:to>
    <xdr:pic>
      <xdr:nvPicPr>
        <xdr:cNvPr id="59" name="Picture 58" descr="Screen Clippi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1395" y="84663915"/>
          <a:ext cx="1323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123</xdr:row>
      <xdr:rowOff>66675</xdr:rowOff>
    </xdr:from>
    <xdr:to>
      <xdr:col>6</xdr:col>
      <xdr:colOff>1495425</xdr:colOff>
      <xdr:row>123</xdr:row>
      <xdr:rowOff>771525</xdr:rowOff>
    </xdr:to>
    <xdr:pic>
      <xdr:nvPicPr>
        <xdr:cNvPr id="60" name="Picture 59" descr="Screen Clippi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114145695"/>
          <a:ext cx="1362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137</xdr:row>
      <xdr:rowOff>142875</xdr:rowOff>
    </xdr:from>
    <xdr:to>
      <xdr:col>6</xdr:col>
      <xdr:colOff>1581150</xdr:colOff>
      <xdr:row>137</xdr:row>
      <xdr:rowOff>866775</xdr:rowOff>
    </xdr:to>
    <xdr:pic>
      <xdr:nvPicPr>
        <xdr:cNvPr id="61" name="Picture 60" descr="Screen Clippi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34725" y="130498215"/>
          <a:ext cx="14192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144</xdr:row>
      <xdr:rowOff>152400</xdr:rowOff>
    </xdr:from>
    <xdr:to>
      <xdr:col>6</xdr:col>
      <xdr:colOff>1419225</xdr:colOff>
      <xdr:row>144</xdr:row>
      <xdr:rowOff>828675</xdr:rowOff>
    </xdr:to>
    <xdr:pic>
      <xdr:nvPicPr>
        <xdr:cNvPr id="62" name="Picture 61" descr="Screen Clippi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135594090"/>
          <a:ext cx="1333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12</xdr:row>
      <xdr:rowOff>133350</xdr:rowOff>
    </xdr:from>
    <xdr:to>
      <xdr:col>4</xdr:col>
      <xdr:colOff>923925</xdr:colOff>
      <xdr:row>12</xdr:row>
      <xdr:rowOff>838200</xdr:rowOff>
    </xdr:to>
    <xdr:pic>
      <xdr:nvPicPr>
        <xdr:cNvPr id="64" name="圖片 3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8016240"/>
          <a:ext cx="714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201</xdr:row>
      <xdr:rowOff>123825</xdr:rowOff>
    </xdr:from>
    <xdr:to>
      <xdr:col>4</xdr:col>
      <xdr:colOff>781050</xdr:colOff>
      <xdr:row>201</xdr:row>
      <xdr:rowOff>781050</xdr:rowOff>
    </xdr:to>
    <xdr:pic>
      <xdr:nvPicPr>
        <xdr:cNvPr id="65" name="圖片 2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191515365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68</xdr:row>
      <xdr:rowOff>76200</xdr:rowOff>
    </xdr:from>
    <xdr:to>
      <xdr:col>4</xdr:col>
      <xdr:colOff>971550</xdr:colOff>
      <xdr:row>68</xdr:row>
      <xdr:rowOff>866775</xdr:rowOff>
    </xdr:to>
    <xdr:pic>
      <xdr:nvPicPr>
        <xdr:cNvPr id="66" name="圖片 35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25050" y="63291720"/>
          <a:ext cx="609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54</xdr:row>
      <xdr:rowOff>95250</xdr:rowOff>
    </xdr:from>
    <xdr:to>
      <xdr:col>4</xdr:col>
      <xdr:colOff>895350</xdr:colOff>
      <xdr:row>54</xdr:row>
      <xdr:rowOff>923925</xdr:rowOff>
    </xdr:to>
    <xdr:pic>
      <xdr:nvPicPr>
        <xdr:cNvPr id="67" name="圖片 3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50086260"/>
          <a:ext cx="657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12</xdr:row>
      <xdr:rowOff>123825</xdr:rowOff>
    </xdr:from>
    <xdr:to>
      <xdr:col>6</xdr:col>
      <xdr:colOff>1495425</xdr:colOff>
      <xdr:row>12</xdr:row>
      <xdr:rowOff>857250</xdr:rowOff>
    </xdr:to>
    <xdr:pic>
      <xdr:nvPicPr>
        <xdr:cNvPr id="6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800671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201</xdr:row>
      <xdr:rowOff>57150</xdr:rowOff>
    </xdr:from>
    <xdr:to>
      <xdr:col>6</xdr:col>
      <xdr:colOff>1590675</xdr:colOff>
      <xdr:row>201</xdr:row>
      <xdr:rowOff>857250</xdr:rowOff>
    </xdr:to>
    <xdr:pic>
      <xdr:nvPicPr>
        <xdr:cNvPr id="69" name="Picture 4" descr="Screen Clippin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191448690"/>
          <a:ext cx="1362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68</xdr:row>
      <xdr:rowOff>142875</xdr:rowOff>
    </xdr:from>
    <xdr:to>
      <xdr:col>6</xdr:col>
      <xdr:colOff>1504950</xdr:colOff>
      <xdr:row>68</xdr:row>
      <xdr:rowOff>885825</xdr:rowOff>
    </xdr:to>
    <xdr:pic>
      <xdr:nvPicPr>
        <xdr:cNvPr id="70" name="Picture 2" descr="Screen Clippin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63358395"/>
          <a:ext cx="1362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54</xdr:row>
      <xdr:rowOff>114300</xdr:rowOff>
    </xdr:from>
    <xdr:to>
      <xdr:col>6</xdr:col>
      <xdr:colOff>1438275</xdr:colOff>
      <xdr:row>54</xdr:row>
      <xdr:rowOff>819150</xdr:rowOff>
    </xdr:to>
    <xdr:pic>
      <xdr:nvPicPr>
        <xdr:cNvPr id="71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50105310"/>
          <a:ext cx="13525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30</xdr:row>
      <xdr:rowOff>76200</xdr:rowOff>
    </xdr:from>
    <xdr:to>
      <xdr:col>4</xdr:col>
      <xdr:colOff>1028700</xdr:colOff>
      <xdr:row>30</xdr:row>
      <xdr:rowOff>866775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2473833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444</xdr:row>
      <xdr:rowOff>95250</xdr:rowOff>
    </xdr:from>
    <xdr:to>
      <xdr:col>4</xdr:col>
      <xdr:colOff>981075</xdr:colOff>
      <xdr:row>444</xdr:row>
      <xdr:rowOff>838200</xdr:rowOff>
    </xdr:to>
    <xdr:pic>
      <xdr:nvPicPr>
        <xdr:cNvPr id="75" name="Picture 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33968817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413</xdr:row>
      <xdr:rowOff>190500</xdr:rowOff>
    </xdr:from>
    <xdr:to>
      <xdr:col>4</xdr:col>
      <xdr:colOff>1143000</xdr:colOff>
      <xdr:row>413</xdr:row>
      <xdr:rowOff>904875</xdr:rowOff>
    </xdr:to>
    <xdr:pic>
      <xdr:nvPicPr>
        <xdr:cNvPr id="76" name="Picture 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91725" y="31355347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48</xdr:row>
      <xdr:rowOff>114300</xdr:rowOff>
    </xdr:from>
    <xdr:to>
      <xdr:col>4</xdr:col>
      <xdr:colOff>952500</xdr:colOff>
      <xdr:row>48</xdr:row>
      <xdr:rowOff>828675</xdr:rowOff>
    </xdr:to>
    <xdr:pic>
      <xdr:nvPicPr>
        <xdr:cNvPr id="77" name="Picture 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4298442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34</xdr:row>
      <xdr:rowOff>85725</xdr:rowOff>
    </xdr:from>
    <xdr:to>
      <xdr:col>4</xdr:col>
      <xdr:colOff>1104900</xdr:colOff>
      <xdr:row>34</xdr:row>
      <xdr:rowOff>914400</xdr:rowOff>
    </xdr:to>
    <xdr:pic>
      <xdr:nvPicPr>
        <xdr:cNvPr id="78" name="Picture 7" descr="Screen Clippin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61575" y="28819475"/>
          <a:ext cx="1028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30</xdr:row>
      <xdr:rowOff>85725</xdr:rowOff>
    </xdr:from>
    <xdr:to>
      <xdr:col>6</xdr:col>
      <xdr:colOff>1590675</xdr:colOff>
      <xdr:row>30</xdr:row>
      <xdr:rowOff>904875</xdr:rowOff>
    </xdr:to>
    <xdr:pic>
      <xdr:nvPicPr>
        <xdr:cNvPr id="79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24747855"/>
          <a:ext cx="1390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219075</xdr:colOff>
      <xdr:row>48</xdr:row>
      <xdr:rowOff>114300</xdr:rowOff>
    </xdr:from>
    <xdr:to>
      <xdr:col>6</xdr:col>
      <xdr:colOff>1781175</xdr:colOff>
      <xdr:row>48</xdr:row>
      <xdr:rowOff>885825</xdr:rowOff>
    </xdr:to>
    <xdr:pic>
      <xdr:nvPicPr>
        <xdr:cNvPr id="82" name="圖片 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91875" y="42984420"/>
          <a:ext cx="1390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413</xdr:row>
      <xdr:rowOff>171450</xdr:rowOff>
    </xdr:from>
    <xdr:to>
      <xdr:col>6</xdr:col>
      <xdr:colOff>1685925</xdr:colOff>
      <xdr:row>413</xdr:row>
      <xdr:rowOff>885825</xdr:rowOff>
    </xdr:to>
    <xdr:pic>
      <xdr:nvPicPr>
        <xdr:cNvPr id="83" name="圖片 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313534425"/>
          <a:ext cx="14097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231775</xdr:colOff>
      <xdr:row>34</xdr:row>
      <xdr:rowOff>107950</xdr:rowOff>
    </xdr:from>
    <xdr:to>
      <xdr:col>6</xdr:col>
      <xdr:colOff>1670050</xdr:colOff>
      <xdr:row>34</xdr:row>
      <xdr:rowOff>917575</xdr:rowOff>
    </xdr:to>
    <xdr:pic>
      <xdr:nvPicPr>
        <xdr:cNvPr id="84" name="圖片 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0025" y="28841700"/>
          <a:ext cx="1438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163</xdr:row>
      <xdr:rowOff>133350</xdr:rowOff>
    </xdr:from>
    <xdr:to>
      <xdr:col>4</xdr:col>
      <xdr:colOff>885825</xdr:colOff>
      <xdr:row>163</xdr:row>
      <xdr:rowOff>809625</xdr:rowOff>
    </xdr:to>
    <xdr:pic>
      <xdr:nvPicPr>
        <xdr:cNvPr id="86" name="圖片 2" descr="畫面剪輯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75094" y="34185225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420</xdr:row>
      <xdr:rowOff>152400</xdr:rowOff>
    </xdr:from>
    <xdr:to>
      <xdr:col>4</xdr:col>
      <xdr:colOff>819150</xdr:colOff>
      <xdr:row>420</xdr:row>
      <xdr:rowOff>781050</xdr:rowOff>
    </xdr:to>
    <xdr:pic>
      <xdr:nvPicPr>
        <xdr:cNvPr id="87" name="圖片 3" descr="畫面剪輯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39325" y="320636265"/>
          <a:ext cx="542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38</xdr:row>
      <xdr:rowOff>123825</xdr:rowOff>
    </xdr:from>
    <xdr:to>
      <xdr:col>4</xdr:col>
      <xdr:colOff>809625</xdr:colOff>
      <xdr:row>38</xdr:row>
      <xdr:rowOff>733425</xdr:rowOff>
    </xdr:to>
    <xdr:pic>
      <xdr:nvPicPr>
        <xdr:cNvPr id="88" name="圖片 4" descr="畫面剪輯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3282124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158</xdr:row>
      <xdr:rowOff>104775</xdr:rowOff>
    </xdr:from>
    <xdr:to>
      <xdr:col>4</xdr:col>
      <xdr:colOff>1028700</xdr:colOff>
      <xdr:row>158</xdr:row>
      <xdr:rowOff>714375</xdr:rowOff>
    </xdr:to>
    <xdr:pic>
      <xdr:nvPicPr>
        <xdr:cNvPr id="89" name="圖片 1" descr="畫面剪輯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67875" y="15080551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436</xdr:row>
      <xdr:rowOff>85725</xdr:rowOff>
    </xdr:from>
    <xdr:to>
      <xdr:col>4</xdr:col>
      <xdr:colOff>1114425</xdr:colOff>
      <xdr:row>436</xdr:row>
      <xdr:rowOff>685800</xdr:rowOff>
    </xdr:to>
    <xdr:pic>
      <xdr:nvPicPr>
        <xdr:cNvPr id="90" name="圖片 2" descr="畫面剪輯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336278220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80</xdr:row>
      <xdr:rowOff>85725</xdr:rowOff>
    </xdr:from>
    <xdr:to>
      <xdr:col>4</xdr:col>
      <xdr:colOff>904875</xdr:colOff>
      <xdr:row>80</xdr:row>
      <xdr:rowOff>809625</xdr:rowOff>
    </xdr:to>
    <xdr:pic>
      <xdr:nvPicPr>
        <xdr:cNvPr id="91" name="圖片 3" descr="畫面剪輯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8850" y="74491215"/>
          <a:ext cx="6191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38</xdr:row>
      <xdr:rowOff>47625</xdr:rowOff>
    </xdr:from>
    <xdr:to>
      <xdr:col>6</xdr:col>
      <xdr:colOff>1685925</xdr:colOff>
      <xdr:row>38</xdr:row>
      <xdr:rowOff>838200</xdr:rowOff>
    </xdr:to>
    <xdr:pic>
      <xdr:nvPicPr>
        <xdr:cNvPr id="93" name="圖片 9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32745045"/>
          <a:ext cx="1524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80</xdr:row>
      <xdr:rowOff>76200</xdr:rowOff>
    </xdr:from>
    <xdr:to>
      <xdr:col>6</xdr:col>
      <xdr:colOff>1628775</xdr:colOff>
      <xdr:row>80</xdr:row>
      <xdr:rowOff>857250</xdr:rowOff>
    </xdr:to>
    <xdr:pic>
      <xdr:nvPicPr>
        <xdr:cNvPr id="94" name="圖片 9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74481690"/>
          <a:ext cx="1466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158</xdr:row>
      <xdr:rowOff>123825</xdr:rowOff>
    </xdr:from>
    <xdr:to>
      <xdr:col>6</xdr:col>
      <xdr:colOff>1695450</xdr:colOff>
      <xdr:row>158</xdr:row>
      <xdr:rowOff>933450</xdr:rowOff>
    </xdr:to>
    <xdr:pic>
      <xdr:nvPicPr>
        <xdr:cNvPr id="96" name="圖片 9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68050" y="150824565"/>
          <a:ext cx="1514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436</xdr:row>
      <xdr:rowOff>95250</xdr:rowOff>
    </xdr:from>
    <xdr:to>
      <xdr:col>6</xdr:col>
      <xdr:colOff>1743075</xdr:colOff>
      <xdr:row>436</xdr:row>
      <xdr:rowOff>838200</xdr:rowOff>
    </xdr:to>
    <xdr:pic>
      <xdr:nvPicPr>
        <xdr:cNvPr id="97" name="圖片 9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336287745"/>
          <a:ext cx="1381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163</xdr:row>
      <xdr:rowOff>47625</xdr:rowOff>
    </xdr:from>
    <xdr:to>
      <xdr:col>6</xdr:col>
      <xdr:colOff>1752600</xdr:colOff>
      <xdr:row>163</xdr:row>
      <xdr:rowOff>895350</xdr:rowOff>
    </xdr:to>
    <xdr:pic>
      <xdr:nvPicPr>
        <xdr:cNvPr id="98" name="圖片 9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0" y="151765635"/>
          <a:ext cx="1533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109</xdr:row>
      <xdr:rowOff>38100</xdr:rowOff>
    </xdr:from>
    <xdr:to>
      <xdr:col>4</xdr:col>
      <xdr:colOff>885825</xdr:colOff>
      <xdr:row>109</xdr:row>
      <xdr:rowOff>847725</xdr:rowOff>
    </xdr:to>
    <xdr:pic>
      <xdr:nvPicPr>
        <xdr:cNvPr id="99" name="圖片 1" descr="畫面剪輯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25025" y="100892610"/>
          <a:ext cx="723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209</xdr:row>
      <xdr:rowOff>114300</xdr:rowOff>
    </xdr:from>
    <xdr:to>
      <xdr:col>4</xdr:col>
      <xdr:colOff>819150</xdr:colOff>
      <xdr:row>209</xdr:row>
      <xdr:rowOff>714375</xdr:rowOff>
    </xdr:to>
    <xdr:pic>
      <xdr:nvPicPr>
        <xdr:cNvPr id="100" name="圖片 2" descr="畫面剪輯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19964400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449</xdr:row>
      <xdr:rowOff>133350</xdr:rowOff>
    </xdr:from>
    <xdr:to>
      <xdr:col>4</xdr:col>
      <xdr:colOff>962025</xdr:colOff>
      <xdr:row>449</xdr:row>
      <xdr:rowOff>828675</xdr:rowOff>
    </xdr:to>
    <xdr:pic>
      <xdr:nvPicPr>
        <xdr:cNvPr id="101" name="圖片 3" descr="畫面剪輯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35446144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57</xdr:row>
      <xdr:rowOff>142875</xdr:rowOff>
    </xdr:from>
    <xdr:to>
      <xdr:col>4</xdr:col>
      <xdr:colOff>866775</xdr:colOff>
      <xdr:row>57</xdr:row>
      <xdr:rowOff>771525</xdr:rowOff>
    </xdr:to>
    <xdr:pic>
      <xdr:nvPicPr>
        <xdr:cNvPr id="102" name="圖片 4" descr="畫面剪輯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53185695"/>
          <a:ext cx="609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61</xdr:row>
      <xdr:rowOff>85725</xdr:rowOff>
    </xdr:from>
    <xdr:to>
      <xdr:col>4</xdr:col>
      <xdr:colOff>847725</xdr:colOff>
      <xdr:row>61</xdr:row>
      <xdr:rowOff>676275</xdr:rowOff>
    </xdr:to>
    <xdr:pic>
      <xdr:nvPicPr>
        <xdr:cNvPr id="103" name="圖片 5" descr="畫面剪輯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57197625"/>
          <a:ext cx="6096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178</xdr:row>
      <xdr:rowOff>209550</xdr:rowOff>
    </xdr:from>
    <xdr:to>
      <xdr:col>4</xdr:col>
      <xdr:colOff>1104900</xdr:colOff>
      <xdr:row>178</xdr:row>
      <xdr:rowOff>790575</xdr:rowOff>
    </xdr:to>
    <xdr:pic>
      <xdr:nvPicPr>
        <xdr:cNvPr id="105" name="圖片 7" descr="畫面剪輯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67925" y="169221150"/>
          <a:ext cx="600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101</xdr:row>
      <xdr:rowOff>190500</xdr:rowOff>
    </xdr:from>
    <xdr:to>
      <xdr:col>4</xdr:col>
      <xdr:colOff>1028700</xdr:colOff>
      <xdr:row>101</xdr:row>
      <xdr:rowOff>800100</xdr:rowOff>
    </xdr:to>
    <xdr:pic>
      <xdr:nvPicPr>
        <xdr:cNvPr id="106" name="圖片 8" descr="畫面剪輯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44100" y="9290685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156</xdr:row>
      <xdr:rowOff>200025</xdr:rowOff>
    </xdr:from>
    <xdr:to>
      <xdr:col>4</xdr:col>
      <xdr:colOff>962025</xdr:colOff>
      <xdr:row>156</xdr:row>
      <xdr:rowOff>771525</xdr:rowOff>
    </xdr:to>
    <xdr:pic>
      <xdr:nvPicPr>
        <xdr:cNvPr id="107" name="圖片 9" descr="畫面剪輯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44100" y="148866225"/>
          <a:ext cx="581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53</xdr:row>
      <xdr:rowOff>247650</xdr:rowOff>
    </xdr:from>
    <xdr:to>
      <xdr:col>4</xdr:col>
      <xdr:colOff>866775</xdr:colOff>
      <xdr:row>53</xdr:row>
      <xdr:rowOff>723900</xdr:rowOff>
    </xdr:to>
    <xdr:pic>
      <xdr:nvPicPr>
        <xdr:cNvPr id="108" name="圖片 10" descr="畫面剪輯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75094" y="10010775"/>
          <a:ext cx="533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185</xdr:row>
      <xdr:rowOff>209550</xdr:rowOff>
    </xdr:from>
    <xdr:to>
      <xdr:col>4</xdr:col>
      <xdr:colOff>838200</xdr:colOff>
      <xdr:row>185</xdr:row>
      <xdr:rowOff>771525</xdr:rowOff>
    </xdr:to>
    <xdr:pic>
      <xdr:nvPicPr>
        <xdr:cNvPr id="109" name="圖片 11" descr="畫面剪輯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91700" y="176342040"/>
          <a:ext cx="609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52</xdr:row>
      <xdr:rowOff>152399</xdr:rowOff>
    </xdr:from>
    <xdr:to>
      <xdr:col>4</xdr:col>
      <xdr:colOff>982686</xdr:colOff>
      <xdr:row>52</xdr:row>
      <xdr:rowOff>949324</xdr:rowOff>
    </xdr:to>
    <xdr:pic>
      <xdr:nvPicPr>
        <xdr:cNvPr id="110" name="圖片 12" descr="畫面剪輯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47090965"/>
          <a:ext cx="772795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55</xdr:row>
      <xdr:rowOff>247650</xdr:rowOff>
    </xdr:from>
    <xdr:to>
      <xdr:col>4</xdr:col>
      <xdr:colOff>1028700</xdr:colOff>
      <xdr:row>55</xdr:row>
      <xdr:rowOff>876300</xdr:rowOff>
    </xdr:to>
    <xdr:pic>
      <xdr:nvPicPr>
        <xdr:cNvPr id="111" name="圖片 13" descr="畫面剪輯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34575" y="5125593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224987</xdr:colOff>
      <xdr:row>109</xdr:row>
      <xdr:rowOff>130722</xdr:rowOff>
    </xdr:from>
    <xdr:to>
      <xdr:col>6</xdr:col>
      <xdr:colOff>1834712</xdr:colOff>
      <xdr:row>109</xdr:row>
      <xdr:rowOff>949872</xdr:rowOff>
    </xdr:to>
    <xdr:pic>
      <xdr:nvPicPr>
        <xdr:cNvPr id="112" name="圖片 111" descr="畫面剪輯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97590" y="100984685"/>
          <a:ext cx="138493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209</xdr:row>
      <xdr:rowOff>123825</xdr:rowOff>
    </xdr:from>
    <xdr:to>
      <xdr:col>6</xdr:col>
      <xdr:colOff>1714500</xdr:colOff>
      <xdr:row>209</xdr:row>
      <xdr:rowOff>904875</xdr:rowOff>
    </xdr:to>
    <xdr:pic>
      <xdr:nvPicPr>
        <xdr:cNvPr id="113" name="圖片 112" descr="畫面剪輯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199653525"/>
          <a:ext cx="1485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449</xdr:row>
      <xdr:rowOff>152400</xdr:rowOff>
    </xdr:from>
    <xdr:to>
      <xdr:col>6</xdr:col>
      <xdr:colOff>1781175</xdr:colOff>
      <xdr:row>449</xdr:row>
      <xdr:rowOff>962025</xdr:rowOff>
    </xdr:to>
    <xdr:pic>
      <xdr:nvPicPr>
        <xdr:cNvPr id="114" name="圖片 113" descr="畫面剪輯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354480495"/>
          <a:ext cx="1476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61</xdr:row>
      <xdr:rowOff>133350</xdr:rowOff>
    </xdr:from>
    <xdr:to>
      <xdr:col>6</xdr:col>
      <xdr:colOff>1685925</xdr:colOff>
      <xdr:row>61</xdr:row>
      <xdr:rowOff>847725</xdr:rowOff>
    </xdr:to>
    <xdr:pic>
      <xdr:nvPicPr>
        <xdr:cNvPr id="115" name="圖片 114" descr="畫面剪輯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82350" y="57245250"/>
          <a:ext cx="1400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178</xdr:row>
      <xdr:rowOff>104775</xdr:rowOff>
    </xdr:from>
    <xdr:to>
      <xdr:col>6</xdr:col>
      <xdr:colOff>1704975</xdr:colOff>
      <xdr:row>178</xdr:row>
      <xdr:rowOff>866775</xdr:rowOff>
    </xdr:to>
    <xdr:pic>
      <xdr:nvPicPr>
        <xdr:cNvPr id="117" name="圖片 116" descr="畫面剪輯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169116375"/>
          <a:ext cx="1419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101</xdr:row>
      <xdr:rowOff>171450</xdr:rowOff>
    </xdr:from>
    <xdr:to>
      <xdr:col>6</xdr:col>
      <xdr:colOff>1800225</xdr:colOff>
      <xdr:row>101</xdr:row>
      <xdr:rowOff>914400</xdr:rowOff>
    </xdr:to>
    <xdr:pic>
      <xdr:nvPicPr>
        <xdr:cNvPr id="118" name="圖片 117" descr="畫面剪輯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77600" y="92887800"/>
          <a:ext cx="1304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156</xdr:row>
      <xdr:rowOff>133350</xdr:rowOff>
    </xdr:from>
    <xdr:to>
      <xdr:col>6</xdr:col>
      <xdr:colOff>1485900</xdr:colOff>
      <xdr:row>156</xdr:row>
      <xdr:rowOff>781050</xdr:rowOff>
    </xdr:to>
    <xdr:pic>
      <xdr:nvPicPr>
        <xdr:cNvPr id="119" name="圖片 118" descr="畫面剪輯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48799550"/>
          <a:ext cx="1304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53</xdr:row>
      <xdr:rowOff>133350</xdr:rowOff>
    </xdr:from>
    <xdr:to>
      <xdr:col>6</xdr:col>
      <xdr:colOff>1657350</xdr:colOff>
      <xdr:row>53</xdr:row>
      <xdr:rowOff>857250</xdr:rowOff>
    </xdr:to>
    <xdr:pic>
      <xdr:nvPicPr>
        <xdr:cNvPr id="120" name="圖片 119" descr="畫面剪輯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48089820"/>
          <a:ext cx="14192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185</xdr:row>
      <xdr:rowOff>95250</xdr:rowOff>
    </xdr:from>
    <xdr:to>
      <xdr:col>6</xdr:col>
      <xdr:colOff>1724025</xdr:colOff>
      <xdr:row>185</xdr:row>
      <xdr:rowOff>904875</xdr:rowOff>
    </xdr:to>
    <xdr:pic>
      <xdr:nvPicPr>
        <xdr:cNvPr id="121" name="圖片 120" descr="畫面剪輯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176227740"/>
          <a:ext cx="1524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55</xdr:row>
      <xdr:rowOff>76200</xdr:rowOff>
    </xdr:from>
    <xdr:to>
      <xdr:col>6</xdr:col>
      <xdr:colOff>1695450</xdr:colOff>
      <xdr:row>55</xdr:row>
      <xdr:rowOff>847725</xdr:rowOff>
    </xdr:to>
    <xdr:pic>
      <xdr:nvPicPr>
        <xdr:cNvPr id="122" name="圖片 121" descr="畫面剪輯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5108448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427</xdr:row>
      <xdr:rowOff>152400</xdr:rowOff>
    </xdr:from>
    <xdr:to>
      <xdr:col>4</xdr:col>
      <xdr:colOff>971550</xdr:colOff>
      <xdr:row>427</xdr:row>
      <xdr:rowOff>809625</xdr:rowOff>
    </xdr:to>
    <xdr:pic>
      <xdr:nvPicPr>
        <xdr:cNvPr id="124" name="圖片 2" descr="畫面剪輯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63125" y="327757155"/>
          <a:ext cx="7715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146050</xdr:colOff>
      <xdr:row>33</xdr:row>
      <xdr:rowOff>73024</xdr:rowOff>
    </xdr:from>
    <xdr:to>
      <xdr:col>4</xdr:col>
      <xdr:colOff>1052645</xdr:colOff>
      <xdr:row>33</xdr:row>
      <xdr:rowOff>920749</xdr:rowOff>
    </xdr:to>
    <xdr:pic>
      <xdr:nvPicPr>
        <xdr:cNvPr id="125" name="圖片 3" descr="畫面剪輯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31425" y="27790774"/>
          <a:ext cx="90659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21</xdr:row>
      <xdr:rowOff>95250</xdr:rowOff>
    </xdr:from>
    <xdr:to>
      <xdr:col>4</xdr:col>
      <xdr:colOff>1028700</xdr:colOff>
      <xdr:row>21</xdr:row>
      <xdr:rowOff>819150</xdr:rowOff>
    </xdr:to>
    <xdr:pic>
      <xdr:nvPicPr>
        <xdr:cNvPr id="126" name="圖片 4" descr="畫面剪輯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39300" y="14893290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143</xdr:row>
      <xdr:rowOff>114300</xdr:rowOff>
    </xdr:from>
    <xdr:to>
      <xdr:col>4</xdr:col>
      <xdr:colOff>933450</xdr:colOff>
      <xdr:row>143</xdr:row>
      <xdr:rowOff>781050</xdr:rowOff>
    </xdr:to>
    <xdr:pic>
      <xdr:nvPicPr>
        <xdr:cNvPr id="127" name="圖片 5" descr="畫面剪輯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134538720"/>
          <a:ext cx="695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355600</xdr:colOff>
      <xdr:row>87</xdr:row>
      <xdr:rowOff>133350</xdr:rowOff>
    </xdr:from>
    <xdr:to>
      <xdr:col>4</xdr:col>
      <xdr:colOff>1041400</xdr:colOff>
      <xdr:row>87</xdr:row>
      <xdr:rowOff>847725</xdr:rowOff>
    </xdr:to>
    <xdr:pic>
      <xdr:nvPicPr>
        <xdr:cNvPr id="128" name="圖片 6" descr="畫面剪輯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8700" y="81659730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175</xdr:row>
      <xdr:rowOff>190500</xdr:rowOff>
    </xdr:from>
    <xdr:to>
      <xdr:col>4</xdr:col>
      <xdr:colOff>914400</xdr:colOff>
      <xdr:row>175</xdr:row>
      <xdr:rowOff>828675</xdr:rowOff>
    </xdr:to>
    <xdr:pic>
      <xdr:nvPicPr>
        <xdr:cNvPr id="129" name="圖片 8" descr="畫面剪輯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164115750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57150</xdr:rowOff>
    </xdr:from>
    <xdr:to>
      <xdr:col>6</xdr:col>
      <xdr:colOff>1609725</xdr:colOff>
      <xdr:row>21</xdr:row>
      <xdr:rowOff>838200</xdr:rowOff>
    </xdr:to>
    <xdr:pic>
      <xdr:nvPicPr>
        <xdr:cNvPr id="130" name="圖片 1" descr="畫面剪輯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68050" y="14855190"/>
          <a:ext cx="1514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323850</xdr:colOff>
      <xdr:row>33</xdr:row>
      <xdr:rowOff>85725</xdr:rowOff>
    </xdr:from>
    <xdr:to>
      <xdr:col>6</xdr:col>
      <xdr:colOff>1590675</xdr:colOff>
      <xdr:row>33</xdr:row>
      <xdr:rowOff>733425</xdr:rowOff>
    </xdr:to>
    <xdr:pic>
      <xdr:nvPicPr>
        <xdr:cNvPr id="131" name="圖片 2" descr="畫面剪輯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0" y="27803475"/>
          <a:ext cx="1266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87</xdr:row>
      <xdr:rowOff>95250</xdr:rowOff>
    </xdr:from>
    <xdr:to>
      <xdr:col>6</xdr:col>
      <xdr:colOff>1600200</xdr:colOff>
      <xdr:row>87</xdr:row>
      <xdr:rowOff>838200</xdr:rowOff>
    </xdr:to>
    <xdr:pic>
      <xdr:nvPicPr>
        <xdr:cNvPr id="132" name="圖片 3" descr="畫面剪輯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81621630"/>
          <a:ext cx="1476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121</xdr:row>
      <xdr:rowOff>76200</xdr:rowOff>
    </xdr:from>
    <xdr:to>
      <xdr:col>6</xdr:col>
      <xdr:colOff>1743075</xdr:colOff>
      <xdr:row>121</xdr:row>
      <xdr:rowOff>866775</xdr:rowOff>
    </xdr:to>
    <xdr:pic>
      <xdr:nvPicPr>
        <xdr:cNvPr id="133" name="圖片 4" descr="畫面剪輯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34725" y="112120680"/>
          <a:ext cx="14478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143</xdr:row>
      <xdr:rowOff>38100</xdr:rowOff>
    </xdr:from>
    <xdr:to>
      <xdr:col>6</xdr:col>
      <xdr:colOff>1752600</xdr:colOff>
      <xdr:row>143</xdr:row>
      <xdr:rowOff>895350</xdr:rowOff>
    </xdr:to>
    <xdr:pic>
      <xdr:nvPicPr>
        <xdr:cNvPr id="134" name="圖片 5" descr="畫面剪輯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39475" y="134462520"/>
          <a:ext cx="15430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175</xdr:row>
      <xdr:rowOff>76200</xdr:rowOff>
    </xdr:from>
    <xdr:to>
      <xdr:col>6</xdr:col>
      <xdr:colOff>1800225</xdr:colOff>
      <xdr:row>175</xdr:row>
      <xdr:rowOff>952500</xdr:rowOff>
    </xdr:to>
    <xdr:pic>
      <xdr:nvPicPr>
        <xdr:cNvPr id="136" name="圖片 7" descr="畫面剪輯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64001450"/>
          <a:ext cx="14954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420</xdr:row>
      <xdr:rowOff>85725</xdr:rowOff>
    </xdr:from>
    <xdr:to>
      <xdr:col>6</xdr:col>
      <xdr:colOff>1695450</xdr:colOff>
      <xdr:row>420</xdr:row>
      <xdr:rowOff>857250</xdr:rowOff>
    </xdr:to>
    <xdr:pic>
      <xdr:nvPicPr>
        <xdr:cNvPr id="137" name="圖片 8" descr="畫面剪輯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34725" y="320569590"/>
          <a:ext cx="14478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427</xdr:row>
      <xdr:rowOff>142875</xdr:rowOff>
    </xdr:from>
    <xdr:to>
      <xdr:col>6</xdr:col>
      <xdr:colOff>1628775</xdr:colOff>
      <xdr:row>427</xdr:row>
      <xdr:rowOff>885825</xdr:rowOff>
    </xdr:to>
    <xdr:pic>
      <xdr:nvPicPr>
        <xdr:cNvPr id="138" name="圖片 138" descr="畫面剪輯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327747630"/>
          <a:ext cx="14287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57</xdr:row>
      <xdr:rowOff>57150</xdr:rowOff>
    </xdr:from>
    <xdr:to>
      <xdr:col>6</xdr:col>
      <xdr:colOff>1800225</xdr:colOff>
      <xdr:row>57</xdr:row>
      <xdr:rowOff>933450</xdr:rowOff>
    </xdr:to>
    <xdr:pic>
      <xdr:nvPicPr>
        <xdr:cNvPr id="139" name="圖片 139" descr="畫面剪輯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68050" y="53099970"/>
          <a:ext cx="1514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52</xdr:row>
      <xdr:rowOff>114300</xdr:rowOff>
    </xdr:from>
    <xdr:to>
      <xdr:col>6</xdr:col>
      <xdr:colOff>1647825</xdr:colOff>
      <xdr:row>52</xdr:row>
      <xdr:rowOff>847725</xdr:rowOff>
    </xdr:to>
    <xdr:pic>
      <xdr:nvPicPr>
        <xdr:cNvPr id="140" name="圖片 140" descr="畫面剪輯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50" y="47053500"/>
          <a:ext cx="14382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79</xdr:row>
      <xdr:rowOff>76200</xdr:rowOff>
    </xdr:from>
    <xdr:to>
      <xdr:col>4</xdr:col>
      <xdr:colOff>809625</xdr:colOff>
      <xdr:row>79</xdr:row>
      <xdr:rowOff>923925</xdr:rowOff>
    </xdr:to>
    <xdr:pic>
      <xdr:nvPicPr>
        <xdr:cNvPr id="153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25050" y="73464420"/>
          <a:ext cx="447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117</xdr:row>
      <xdr:rowOff>66675</xdr:rowOff>
    </xdr:from>
    <xdr:to>
      <xdr:col>4</xdr:col>
      <xdr:colOff>904875</xdr:colOff>
      <xdr:row>117</xdr:row>
      <xdr:rowOff>885825</xdr:rowOff>
    </xdr:to>
    <xdr:pic>
      <xdr:nvPicPr>
        <xdr:cNvPr id="154" name="圖片 3" descr="畫面剪輯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86950" y="108042075"/>
          <a:ext cx="5810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308881</xdr:colOff>
      <xdr:row>136</xdr:row>
      <xdr:rowOff>87087</xdr:rowOff>
    </xdr:from>
    <xdr:to>
      <xdr:col>4</xdr:col>
      <xdr:colOff>830036</xdr:colOff>
      <xdr:row>136</xdr:row>
      <xdr:rowOff>977394</xdr:rowOff>
    </xdr:to>
    <xdr:pic>
      <xdr:nvPicPr>
        <xdr:cNvPr id="155" name="圖片 4" descr="畫面剪輯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1710" y="129425065"/>
          <a:ext cx="521335" cy="89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133</xdr:row>
      <xdr:rowOff>95250</xdr:rowOff>
    </xdr:from>
    <xdr:to>
      <xdr:col>4</xdr:col>
      <xdr:colOff>762000</xdr:colOff>
      <xdr:row>133</xdr:row>
      <xdr:rowOff>895350</xdr:rowOff>
    </xdr:to>
    <xdr:pic>
      <xdr:nvPicPr>
        <xdr:cNvPr id="156" name="圖片 5" descr="畫面剪輯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39325" y="126381510"/>
          <a:ext cx="4857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100</xdr:row>
      <xdr:rowOff>114300</xdr:rowOff>
    </xdr:from>
    <xdr:to>
      <xdr:col>4</xdr:col>
      <xdr:colOff>781050</xdr:colOff>
      <xdr:row>100</xdr:row>
      <xdr:rowOff>847725</xdr:rowOff>
    </xdr:to>
    <xdr:pic>
      <xdr:nvPicPr>
        <xdr:cNvPr id="157" name="圖片 6" descr="畫面剪輯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44100" y="91813380"/>
          <a:ext cx="400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423</xdr:row>
      <xdr:rowOff>104775</xdr:rowOff>
    </xdr:from>
    <xdr:to>
      <xdr:col>4</xdr:col>
      <xdr:colOff>809625</xdr:colOff>
      <xdr:row>423</xdr:row>
      <xdr:rowOff>904875</xdr:rowOff>
    </xdr:to>
    <xdr:pic>
      <xdr:nvPicPr>
        <xdr:cNvPr id="158" name="圖片 7" descr="畫面剪輯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44100" y="323640450"/>
          <a:ext cx="4286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28</xdr:row>
      <xdr:rowOff>114300</xdr:rowOff>
    </xdr:from>
    <xdr:to>
      <xdr:col>4</xdr:col>
      <xdr:colOff>723900</xdr:colOff>
      <xdr:row>28</xdr:row>
      <xdr:rowOff>885825</xdr:rowOff>
    </xdr:to>
    <xdr:pic>
      <xdr:nvPicPr>
        <xdr:cNvPr id="159" name="圖片 8" descr="畫面剪輯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22741890"/>
          <a:ext cx="428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29</xdr:row>
      <xdr:rowOff>123825</xdr:rowOff>
    </xdr:from>
    <xdr:to>
      <xdr:col>4</xdr:col>
      <xdr:colOff>838200</xdr:colOff>
      <xdr:row>29</xdr:row>
      <xdr:rowOff>942975</xdr:rowOff>
    </xdr:to>
    <xdr:pic>
      <xdr:nvPicPr>
        <xdr:cNvPr id="160" name="圖片 9" descr="畫面剪輯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53625" y="23768685"/>
          <a:ext cx="447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119</xdr:row>
      <xdr:rowOff>76200</xdr:rowOff>
    </xdr:from>
    <xdr:to>
      <xdr:col>4</xdr:col>
      <xdr:colOff>781050</xdr:colOff>
      <xdr:row>119</xdr:row>
      <xdr:rowOff>952500</xdr:rowOff>
    </xdr:to>
    <xdr:pic>
      <xdr:nvPicPr>
        <xdr:cNvPr id="161" name="圖片 10" descr="畫面剪輯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44100" y="110086140"/>
          <a:ext cx="400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443</xdr:row>
      <xdr:rowOff>133350</xdr:rowOff>
    </xdr:from>
    <xdr:to>
      <xdr:col>4</xdr:col>
      <xdr:colOff>962025</xdr:colOff>
      <xdr:row>443</xdr:row>
      <xdr:rowOff>942975</xdr:rowOff>
    </xdr:to>
    <xdr:pic>
      <xdr:nvPicPr>
        <xdr:cNvPr id="162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05975" y="33859279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179</xdr:row>
      <xdr:rowOff>228600</xdr:rowOff>
    </xdr:from>
    <xdr:to>
      <xdr:col>4</xdr:col>
      <xdr:colOff>962025</xdr:colOff>
      <xdr:row>179</xdr:row>
      <xdr:rowOff>885825</xdr:rowOff>
    </xdr:to>
    <xdr:pic>
      <xdr:nvPicPr>
        <xdr:cNvPr id="163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170257470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187</xdr:row>
      <xdr:rowOff>85725</xdr:rowOff>
    </xdr:from>
    <xdr:to>
      <xdr:col>4</xdr:col>
      <xdr:colOff>1104900</xdr:colOff>
      <xdr:row>187</xdr:row>
      <xdr:rowOff>952500</xdr:rowOff>
    </xdr:to>
    <xdr:pic>
      <xdr:nvPicPr>
        <xdr:cNvPr id="164" name="圖片 3" descr="畫面剪輯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05975" y="178252755"/>
          <a:ext cx="962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247650</xdr:colOff>
      <xdr:row>28</xdr:row>
      <xdr:rowOff>133350</xdr:rowOff>
    </xdr:from>
    <xdr:to>
      <xdr:col>6</xdr:col>
      <xdr:colOff>1571625</xdr:colOff>
      <xdr:row>28</xdr:row>
      <xdr:rowOff>828675</xdr:rowOff>
    </xdr:to>
    <xdr:pic>
      <xdr:nvPicPr>
        <xdr:cNvPr id="165" name="圖片 165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841986" y="21728311"/>
          <a:ext cx="13239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285750</xdr:colOff>
      <xdr:row>29</xdr:row>
      <xdr:rowOff>190500</xdr:rowOff>
    </xdr:from>
    <xdr:to>
      <xdr:col>6</xdr:col>
      <xdr:colOff>1533525</xdr:colOff>
      <xdr:row>29</xdr:row>
      <xdr:rowOff>828675</xdr:rowOff>
    </xdr:to>
    <xdr:pic>
      <xdr:nvPicPr>
        <xdr:cNvPr id="166" name="圖片 166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58550" y="23835360"/>
          <a:ext cx="12477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79</xdr:row>
      <xdr:rowOff>209550</xdr:rowOff>
    </xdr:from>
    <xdr:to>
      <xdr:col>6</xdr:col>
      <xdr:colOff>1524000</xdr:colOff>
      <xdr:row>79</xdr:row>
      <xdr:rowOff>838200</xdr:rowOff>
    </xdr:to>
    <xdr:pic>
      <xdr:nvPicPr>
        <xdr:cNvPr id="167" name="圖片 167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10925" y="73597770"/>
          <a:ext cx="1285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219075</xdr:colOff>
      <xdr:row>100</xdr:row>
      <xdr:rowOff>152400</xdr:rowOff>
    </xdr:from>
    <xdr:to>
      <xdr:col>6</xdr:col>
      <xdr:colOff>1466850</xdr:colOff>
      <xdr:row>100</xdr:row>
      <xdr:rowOff>742950</xdr:rowOff>
    </xdr:to>
    <xdr:pic>
      <xdr:nvPicPr>
        <xdr:cNvPr id="168" name="圖片 168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91875" y="91851480"/>
          <a:ext cx="1247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117</xdr:row>
      <xdr:rowOff>180975</xdr:rowOff>
    </xdr:from>
    <xdr:to>
      <xdr:col>6</xdr:col>
      <xdr:colOff>1457325</xdr:colOff>
      <xdr:row>117</xdr:row>
      <xdr:rowOff>809625</xdr:rowOff>
    </xdr:to>
    <xdr:pic>
      <xdr:nvPicPr>
        <xdr:cNvPr id="169" name="圖片 169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50" y="108156375"/>
          <a:ext cx="1285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295275</xdr:colOff>
      <xdr:row>119</xdr:row>
      <xdr:rowOff>266700</xdr:rowOff>
    </xdr:from>
    <xdr:to>
      <xdr:col>6</xdr:col>
      <xdr:colOff>1581150</xdr:colOff>
      <xdr:row>119</xdr:row>
      <xdr:rowOff>857250</xdr:rowOff>
    </xdr:to>
    <xdr:pic>
      <xdr:nvPicPr>
        <xdr:cNvPr id="170" name="圖片 170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68075" y="110276640"/>
          <a:ext cx="1285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133</xdr:row>
      <xdr:rowOff>190500</xdr:rowOff>
    </xdr:from>
    <xdr:to>
      <xdr:col>6</xdr:col>
      <xdr:colOff>1504950</xdr:colOff>
      <xdr:row>133</xdr:row>
      <xdr:rowOff>838200</xdr:rowOff>
    </xdr:to>
    <xdr:pic>
      <xdr:nvPicPr>
        <xdr:cNvPr id="171" name="圖片 171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26476760"/>
          <a:ext cx="1323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136</xdr:row>
      <xdr:rowOff>200025</xdr:rowOff>
    </xdr:from>
    <xdr:to>
      <xdr:col>6</xdr:col>
      <xdr:colOff>1409700</xdr:colOff>
      <xdr:row>136</xdr:row>
      <xdr:rowOff>790575</xdr:rowOff>
    </xdr:to>
    <xdr:pic>
      <xdr:nvPicPr>
        <xdr:cNvPr id="172" name="圖片 173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129538095"/>
          <a:ext cx="1285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179</xdr:row>
      <xdr:rowOff>171450</xdr:rowOff>
    </xdr:from>
    <xdr:to>
      <xdr:col>6</xdr:col>
      <xdr:colOff>1514475</xdr:colOff>
      <xdr:row>179</xdr:row>
      <xdr:rowOff>809625</xdr:rowOff>
    </xdr:to>
    <xdr:pic>
      <xdr:nvPicPr>
        <xdr:cNvPr id="173" name="圖片 174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17020032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187</xdr:row>
      <xdr:rowOff>123825</xdr:rowOff>
    </xdr:from>
    <xdr:to>
      <xdr:col>6</xdr:col>
      <xdr:colOff>1676400</xdr:colOff>
      <xdr:row>187</xdr:row>
      <xdr:rowOff>847725</xdr:rowOff>
    </xdr:to>
    <xdr:pic>
      <xdr:nvPicPr>
        <xdr:cNvPr id="174" name="圖片 175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178290855"/>
          <a:ext cx="1524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154949</xdr:colOff>
      <xdr:row>443</xdr:row>
      <xdr:rowOff>112153</xdr:rowOff>
    </xdr:from>
    <xdr:to>
      <xdr:col>6</xdr:col>
      <xdr:colOff>1831349</xdr:colOff>
      <xdr:row>443</xdr:row>
      <xdr:rowOff>874153</xdr:rowOff>
    </xdr:to>
    <xdr:pic>
      <xdr:nvPicPr>
        <xdr:cNvPr id="175" name="圖片 176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7740" y="338571205"/>
          <a:ext cx="145478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448</xdr:row>
      <xdr:rowOff>85725</xdr:rowOff>
    </xdr:from>
    <xdr:to>
      <xdr:col>4</xdr:col>
      <xdr:colOff>914400</xdr:colOff>
      <xdr:row>448</xdr:row>
      <xdr:rowOff>942975</xdr:rowOff>
    </xdr:to>
    <xdr:pic>
      <xdr:nvPicPr>
        <xdr:cNvPr id="176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351013395"/>
          <a:ext cx="657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6</xdr:row>
      <xdr:rowOff>47625</xdr:rowOff>
    </xdr:from>
    <xdr:to>
      <xdr:col>4</xdr:col>
      <xdr:colOff>895350</xdr:colOff>
      <xdr:row>6</xdr:row>
      <xdr:rowOff>962025</xdr:rowOff>
    </xdr:to>
    <xdr:pic>
      <xdr:nvPicPr>
        <xdr:cNvPr id="177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33025" y="4873625"/>
          <a:ext cx="647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86</xdr:row>
      <xdr:rowOff>85725</xdr:rowOff>
    </xdr:from>
    <xdr:to>
      <xdr:col>4</xdr:col>
      <xdr:colOff>838200</xdr:colOff>
      <xdr:row>86</xdr:row>
      <xdr:rowOff>904875</xdr:rowOff>
    </xdr:to>
    <xdr:pic>
      <xdr:nvPicPr>
        <xdr:cNvPr id="178" name="圖片 3" descr="畫面剪輯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80594835"/>
          <a:ext cx="600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176</xdr:row>
      <xdr:rowOff>85725</xdr:rowOff>
    </xdr:from>
    <xdr:to>
      <xdr:col>4</xdr:col>
      <xdr:colOff>762000</xdr:colOff>
      <xdr:row>176</xdr:row>
      <xdr:rowOff>914400</xdr:rowOff>
    </xdr:to>
    <xdr:pic>
      <xdr:nvPicPr>
        <xdr:cNvPr id="179" name="圖片 4" descr="畫面剪輯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167062785"/>
          <a:ext cx="581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129</xdr:row>
      <xdr:rowOff>114300</xdr:rowOff>
    </xdr:from>
    <xdr:to>
      <xdr:col>4</xdr:col>
      <xdr:colOff>771525</xdr:colOff>
      <xdr:row>129</xdr:row>
      <xdr:rowOff>904875</xdr:rowOff>
    </xdr:to>
    <xdr:pic>
      <xdr:nvPicPr>
        <xdr:cNvPr id="180" name="圖片 5" descr="畫面剪輯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120296940"/>
          <a:ext cx="5905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27</xdr:row>
      <xdr:rowOff>85725</xdr:rowOff>
    </xdr:from>
    <xdr:to>
      <xdr:col>4</xdr:col>
      <xdr:colOff>857250</xdr:colOff>
      <xdr:row>27</xdr:row>
      <xdr:rowOff>885825</xdr:rowOff>
    </xdr:to>
    <xdr:pic>
      <xdr:nvPicPr>
        <xdr:cNvPr id="181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2179891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67</xdr:row>
      <xdr:rowOff>85725</xdr:rowOff>
    </xdr:from>
    <xdr:to>
      <xdr:col>4</xdr:col>
      <xdr:colOff>857250</xdr:colOff>
      <xdr:row>67</xdr:row>
      <xdr:rowOff>885825</xdr:rowOff>
    </xdr:to>
    <xdr:pic>
      <xdr:nvPicPr>
        <xdr:cNvPr id="182" name="圖片 182" descr="畫面剪輯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6228397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353</xdr:row>
      <xdr:rowOff>85725</xdr:rowOff>
    </xdr:from>
    <xdr:to>
      <xdr:col>4</xdr:col>
      <xdr:colOff>866775</xdr:colOff>
      <xdr:row>353</xdr:row>
      <xdr:rowOff>838200</xdr:rowOff>
    </xdr:to>
    <xdr:pic>
      <xdr:nvPicPr>
        <xdr:cNvPr id="185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63125" y="30225873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355</xdr:row>
      <xdr:rowOff>104775</xdr:rowOff>
    </xdr:from>
    <xdr:to>
      <xdr:col>4</xdr:col>
      <xdr:colOff>895350</xdr:colOff>
      <xdr:row>355</xdr:row>
      <xdr:rowOff>857250</xdr:rowOff>
    </xdr:to>
    <xdr:pic>
      <xdr:nvPicPr>
        <xdr:cNvPr id="187" name="圖片 187" descr="畫面剪輯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304312320"/>
          <a:ext cx="657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36</xdr:row>
      <xdr:rowOff>104775</xdr:rowOff>
    </xdr:from>
    <xdr:to>
      <xdr:col>4</xdr:col>
      <xdr:colOff>895350</xdr:colOff>
      <xdr:row>36</xdr:row>
      <xdr:rowOff>857250</xdr:rowOff>
    </xdr:to>
    <xdr:pic>
      <xdr:nvPicPr>
        <xdr:cNvPr id="188" name="圖片 188" descr="畫面剪輯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30870525"/>
          <a:ext cx="657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244</xdr:row>
      <xdr:rowOff>104775</xdr:rowOff>
    </xdr:from>
    <xdr:to>
      <xdr:col>4</xdr:col>
      <xdr:colOff>1028700</xdr:colOff>
      <xdr:row>244</xdr:row>
      <xdr:rowOff>914400</xdr:rowOff>
    </xdr:to>
    <xdr:pic>
      <xdr:nvPicPr>
        <xdr:cNvPr id="191" name="圖片 4" descr="畫面剪輯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353299395"/>
          <a:ext cx="733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447</xdr:row>
      <xdr:rowOff>85725</xdr:rowOff>
    </xdr:from>
    <xdr:to>
      <xdr:col>4</xdr:col>
      <xdr:colOff>800100</xdr:colOff>
      <xdr:row>447</xdr:row>
      <xdr:rowOff>866775</xdr:rowOff>
    </xdr:to>
    <xdr:pic>
      <xdr:nvPicPr>
        <xdr:cNvPr id="194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36969" y="349281155"/>
          <a:ext cx="704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27</xdr:row>
      <xdr:rowOff>190500</xdr:rowOff>
    </xdr:from>
    <xdr:to>
      <xdr:col>6</xdr:col>
      <xdr:colOff>1581150</xdr:colOff>
      <xdr:row>27</xdr:row>
      <xdr:rowOff>866775</xdr:rowOff>
    </xdr:to>
    <xdr:pic>
      <xdr:nvPicPr>
        <xdr:cNvPr id="196" name="圖片 4" descr="畫面剪輯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21903690"/>
          <a:ext cx="1438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104775</xdr:rowOff>
    </xdr:from>
    <xdr:to>
      <xdr:col>6</xdr:col>
      <xdr:colOff>1600200</xdr:colOff>
      <xdr:row>36</xdr:row>
      <xdr:rowOff>847725</xdr:rowOff>
    </xdr:to>
    <xdr:pic>
      <xdr:nvPicPr>
        <xdr:cNvPr id="197" name="圖片 5" descr="畫面剪輯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30870525"/>
          <a:ext cx="1466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143452</xdr:colOff>
      <xdr:row>67</xdr:row>
      <xdr:rowOff>80530</xdr:rowOff>
    </xdr:from>
    <xdr:to>
      <xdr:col>6</xdr:col>
      <xdr:colOff>1743652</xdr:colOff>
      <xdr:row>67</xdr:row>
      <xdr:rowOff>871105</xdr:rowOff>
    </xdr:to>
    <xdr:pic>
      <xdr:nvPicPr>
        <xdr:cNvPr id="198" name="圖片 6" descr="畫面剪輯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62278260"/>
          <a:ext cx="14668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86</xdr:row>
      <xdr:rowOff>57150</xdr:rowOff>
    </xdr:from>
    <xdr:to>
      <xdr:col>6</xdr:col>
      <xdr:colOff>1619250</xdr:colOff>
      <xdr:row>86</xdr:row>
      <xdr:rowOff>895350</xdr:rowOff>
    </xdr:to>
    <xdr:pic>
      <xdr:nvPicPr>
        <xdr:cNvPr id="208" name="圖片 18" descr="畫面剪輯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74450" y="80511650"/>
          <a:ext cx="15430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121</xdr:row>
      <xdr:rowOff>133350</xdr:rowOff>
    </xdr:from>
    <xdr:to>
      <xdr:col>4</xdr:col>
      <xdr:colOff>781050</xdr:colOff>
      <xdr:row>121</xdr:row>
      <xdr:rowOff>914400</xdr:rowOff>
    </xdr:to>
    <xdr:pic>
      <xdr:nvPicPr>
        <xdr:cNvPr id="209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112177830"/>
          <a:ext cx="571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446</xdr:row>
      <xdr:rowOff>142875</xdr:rowOff>
    </xdr:from>
    <xdr:to>
      <xdr:col>4</xdr:col>
      <xdr:colOff>1047750</xdr:colOff>
      <xdr:row>446</xdr:row>
      <xdr:rowOff>866775</xdr:rowOff>
    </xdr:to>
    <xdr:pic>
      <xdr:nvPicPr>
        <xdr:cNvPr id="210" name="圖片 1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86950" y="34086927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140</xdr:row>
      <xdr:rowOff>180975</xdr:rowOff>
    </xdr:from>
    <xdr:to>
      <xdr:col>4</xdr:col>
      <xdr:colOff>971550</xdr:colOff>
      <xdr:row>140</xdr:row>
      <xdr:rowOff>904875</xdr:rowOff>
    </xdr:to>
    <xdr:pic>
      <xdr:nvPicPr>
        <xdr:cNvPr id="211" name="圖片 2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13257085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135</xdr:row>
      <xdr:rowOff>161925</xdr:rowOff>
    </xdr:from>
    <xdr:to>
      <xdr:col>4</xdr:col>
      <xdr:colOff>1009650</xdr:colOff>
      <xdr:row>135</xdr:row>
      <xdr:rowOff>885825</xdr:rowOff>
    </xdr:to>
    <xdr:pic>
      <xdr:nvPicPr>
        <xdr:cNvPr id="212" name="圖片 3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8850" y="1284827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118</xdr:row>
      <xdr:rowOff>180975</xdr:rowOff>
    </xdr:from>
    <xdr:to>
      <xdr:col>4</xdr:col>
      <xdr:colOff>1009650</xdr:colOff>
      <xdr:row>118</xdr:row>
      <xdr:rowOff>904875</xdr:rowOff>
    </xdr:to>
    <xdr:pic>
      <xdr:nvPicPr>
        <xdr:cNvPr id="213" name="圖片 4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10917364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184</xdr:row>
      <xdr:rowOff>161925</xdr:rowOff>
    </xdr:from>
    <xdr:to>
      <xdr:col>4</xdr:col>
      <xdr:colOff>981075</xdr:colOff>
      <xdr:row>184</xdr:row>
      <xdr:rowOff>885825</xdr:rowOff>
    </xdr:to>
    <xdr:pic>
      <xdr:nvPicPr>
        <xdr:cNvPr id="214" name="圖片 5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17527714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207</xdr:row>
      <xdr:rowOff>171450</xdr:rowOff>
    </xdr:from>
    <xdr:to>
      <xdr:col>4</xdr:col>
      <xdr:colOff>952500</xdr:colOff>
      <xdr:row>207</xdr:row>
      <xdr:rowOff>885825</xdr:rowOff>
    </xdr:to>
    <xdr:pic>
      <xdr:nvPicPr>
        <xdr:cNvPr id="215" name="圖片 6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19766661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297</xdr:row>
      <xdr:rowOff>114300</xdr:rowOff>
    </xdr:from>
    <xdr:to>
      <xdr:col>4</xdr:col>
      <xdr:colOff>809625</xdr:colOff>
      <xdr:row>297</xdr:row>
      <xdr:rowOff>876300</xdr:rowOff>
    </xdr:to>
    <xdr:pic>
      <xdr:nvPicPr>
        <xdr:cNvPr id="217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256517775"/>
          <a:ext cx="657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198</xdr:row>
      <xdr:rowOff>85725</xdr:rowOff>
    </xdr:from>
    <xdr:to>
      <xdr:col>4</xdr:col>
      <xdr:colOff>838200</xdr:colOff>
      <xdr:row>198</xdr:row>
      <xdr:rowOff>819150</xdr:rowOff>
    </xdr:to>
    <xdr:pic>
      <xdr:nvPicPr>
        <xdr:cNvPr id="218" name="圖片 3" descr="畫面剪輯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86925" y="188425455"/>
          <a:ext cx="714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85</xdr:row>
      <xdr:rowOff>76200</xdr:rowOff>
    </xdr:from>
    <xdr:to>
      <xdr:col>4</xdr:col>
      <xdr:colOff>942975</xdr:colOff>
      <xdr:row>85</xdr:row>
      <xdr:rowOff>819150</xdr:rowOff>
    </xdr:to>
    <xdr:pic>
      <xdr:nvPicPr>
        <xdr:cNvPr id="219" name="圖片 4" descr="畫面剪輯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39300" y="79568040"/>
          <a:ext cx="866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50</xdr:row>
      <xdr:rowOff>57150</xdr:rowOff>
    </xdr:from>
    <xdr:to>
      <xdr:col>4</xdr:col>
      <xdr:colOff>923925</xdr:colOff>
      <xdr:row>50</xdr:row>
      <xdr:rowOff>876300</xdr:rowOff>
    </xdr:to>
    <xdr:pic>
      <xdr:nvPicPr>
        <xdr:cNvPr id="220" name="圖片 5" descr="畫面剪輯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44961810"/>
          <a:ext cx="809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113</xdr:row>
      <xdr:rowOff>104775</xdr:rowOff>
    </xdr:from>
    <xdr:to>
      <xdr:col>4</xdr:col>
      <xdr:colOff>990600</xdr:colOff>
      <xdr:row>113</xdr:row>
      <xdr:rowOff>914400</xdr:rowOff>
    </xdr:to>
    <xdr:pic>
      <xdr:nvPicPr>
        <xdr:cNvPr id="221" name="圖片 6" descr="畫面剪輯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0401109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154</xdr:row>
      <xdr:rowOff>104775</xdr:rowOff>
    </xdr:from>
    <xdr:to>
      <xdr:col>4</xdr:col>
      <xdr:colOff>942975</xdr:colOff>
      <xdr:row>154</xdr:row>
      <xdr:rowOff>885825</xdr:rowOff>
    </xdr:to>
    <xdr:pic>
      <xdr:nvPicPr>
        <xdr:cNvPr id="222" name="圖片 7" descr="畫面剪輯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46736435"/>
          <a:ext cx="771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108</xdr:row>
      <xdr:rowOff>85725</xdr:rowOff>
    </xdr:from>
    <xdr:to>
      <xdr:col>4</xdr:col>
      <xdr:colOff>1057275</xdr:colOff>
      <xdr:row>108</xdr:row>
      <xdr:rowOff>942975</xdr:rowOff>
    </xdr:to>
    <xdr:pic>
      <xdr:nvPicPr>
        <xdr:cNvPr id="223" name="圖片 8" descr="畫面剪輯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99922965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268</xdr:row>
      <xdr:rowOff>104775</xdr:rowOff>
    </xdr:from>
    <xdr:to>
      <xdr:col>4</xdr:col>
      <xdr:colOff>1019175</xdr:colOff>
      <xdr:row>268</xdr:row>
      <xdr:rowOff>952500</xdr:rowOff>
    </xdr:to>
    <xdr:pic>
      <xdr:nvPicPr>
        <xdr:cNvPr id="224" name="圖片 9" descr="畫面剪輯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234128310"/>
          <a:ext cx="828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45</xdr:row>
      <xdr:rowOff>76200</xdr:rowOff>
    </xdr:from>
    <xdr:to>
      <xdr:col>4</xdr:col>
      <xdr:colOff>1019175</xdr:colOff>
      <xdr:row>45</xdr:row>
      <xdr:rowOff>914400</xdr:rowOff>
    </xdr:to>
    <xdr:pic>
      <xdr:nvPicPr>
        <xdr:cNvPr id="225" name="圖片 10" descr="畫面剪輯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82175" y="39894510"/>
          <a:ext cx="800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203</xdr:row>
      <xdr:rowOff>104775</xdr:rowOff>
    </xdr:from>
    <xdr:to>
      <xdr:col>4</xdr:col>
      <xdr:colOff>885825</xdr:colOff>
      <xdr:row>203</xdr:row>
      <xdr:rowOff>942975</xdr:rowOff>
    </xdr:to>
    <xdr:pic>
      <xdr:nvPicPr>
        <xdr:cNvPr id="226" name="圖片 11" descr="畫面剪輯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193530855"/>
          <a:ext cx="7715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208</xdr:row>
      <xdr:rowOff>114300</xdr:rowOff>
    </xdr:from>
    <xdr:to>
      <xdr:col>4</xdr:col>
      <xdr:colOff>971550</xdr:colOff>
      <xdr:row>208</xdr:row>
      <xdr:rowOff>914400</xdr:rowOff>
    </xdr:to>
    <xdr:pic>
      <xdr:nvPicPr>
        <xdr:cNvPr id="227" name="圖片 12" descr="畫面剪輯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36100" y="2024888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174</xdr:row>
      <xdr:rowOff>104775</xdr:rowOff>
    </xdr:from>
    <xdr:to>
      <xdr:col>4</xdr:col>
      <xdr:colOff>990600</xdr:colOff>
      <xdr:row>174</xdr:row>
      <xdr:rowOff>923925</xdr:rowOff>
    </xdr:to>
    <xdr:pic>
      <xdr:nvPicPr>
        <xdr:cNvPr id="228" name="圖片 13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6301275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115661</xdr:colOff>
      <xdr:row>70</xdr:row>
      <xdr:rowOff>102054</xdr:rowOff>
    </xdr:from>
    <xdr:to>
      <xdr:col>4</xdr:col>
      <xdr:colOff>944336</xdr:colOff>
      <xdr:row>70</xdr:row>
      <xdr:rowOff>921204</xdr:rowOff>
    </xdr:to>
    <xdr:pic>
      <xdr:nvPicPr>
        <xdr:cNvPr id="229" name="圖片 14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8670" y="65351660"/>
          <a:ext cx="828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141</xdr:row>
      <xdr:rowOff>104775</xdr:rowOff>
    </xdr:from>
    <xdr:to>
      <xdr:col>4</xdr:col>
      <xdr:colOff>1038225</xdr:colOff>
      <xdr:row>141</xdr:row>
      <xdr:rowOff>933450</xdr:rowOff>
    </xdr:to>
    <xdr:pic>
      <xdr:nvPicPr>
        <xdr:cNvPr id="230" name="圖片 15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13351192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99</xdr:row>
      <xdr:rowOff>76200</xdr:rowOff>
    </xdr:from>
    <xdr:to>
      <xdr:col>4</xdr:col>
      <xdr:colOff>1038225</xdr:colOff>
      <xdr:row>99</xdr:row>
      <xdr:rowOff>904875</xdr:rowOff>
    </xdr:to>
    <xdr:pic>
      <xdr:nvPicPr>
        <xdr:cNvPr id="231" name="圖片 16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82175" y="90758010"/>
          <a:ext cx="819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206</xdr:row>
      <xdr:rowOff>47625</xdr:rowOff>
    </xdr:from>
    <xdr:to>
      <xdr:col>4</xdr:col>
      <xdr:colOff>1038225</xdr:colOff>
      <xdr:row>206</xdr:row>
      <xdr:rowOff>876300</xdr:rowOff>
    </xdr:to>
    <xdr:pic>
      <xdr:nvPicPr>
        <xdr:cNvPr id="232" name="圖片 17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19652551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105</xdr:row>
      <xdr:rowOff>85725</xdr:rowOff>
    </xdr:from>
    <xdr:to>
      <xdr:col>4</xdr:col>
      <xdr:colOff>1019175</xdr:colOff>
      <xdr:row>105</xdr:row>
      <xdr:rowOff>914400</xdr:rowOff>
    </xdr:to>
    <xdr:pic>
      <xdr:nvPicPr>
        <xdr:cNvPr id="233" name="圖片 18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9687115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42</xdr:row>
      <xdr:rowOff>81643</xdr:rowOff>
    </xdr:from>
    <xdr:to>
      <xdr:col>4</xdr:col>
      <xdr:colOff>904875</xdr:colOff>
      <xdr:row>42</xdr:row>
      <xdr:rowOff>900793</xdr:rowOff>
    </xdr:to>
    <xdr:pic>
      <xdr:nvPicPr>
        <xdr:cNvPr id="234" name="圖片 19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48825" y="3684778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127907</xdr:colOff>
      <xdr:row>132</xdr:row>
      <xdr:rowOff>65314</xdr:rowOff>
    </xdr:from>
    <xdr:to>
      <xdr:col>4</xdr:col>
      <xdr:colOff>928007</xdr:colOff>
      <xdr:row>132</xdr:row>
      <xdr:rowOff>855889</xdr:rowOff>
    </xdr:to>
    <xdr:pic>
      <xdr:nvPicPr>
        <xdr:cNvPr id="235" name="圖片 20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0735" y="124316490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433</xdr:row>
      <xdr:rowOff>95250</xdr:rowOff>
    </xdr:from>
    <xdr:to>
      <xdr:col>4</xdr:col>
      <xdr:colOff>990600</xdr:colOff>
      <xdr:row>433</xdr:row>
      <xdr:rowOff>885825</xdr:rowOff>
    </xdr:to>
    <xdr:pic>
      <xdr:nvPicPr>
        <xdr:cNvPr id="236" name="圖片 21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332887320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19</xdr:row>
      <xdr:rowOff>95250</xdr:rowOff>
    </xdr:from>
    <xdr:to>
      <xdr:col>4</xdr:col>
      <xdr:colOff>1009650</xdr:colOff>
      <xdr:row>19</xdr:row>
      <xdr:rowOff>885825</xdr:rowOff>
    </xdr:to>
    <xdr:pic>
      <xdr:nvPicPr>
        <xdr:cNvPr id="237" name="圖片 22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82175" y="1296162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83</xdr:row>
      <xdr:rowOff>47625</xdr:rowOff>
    </xdr:from>
    <xdr:to>
      <xdr:col>4</xdr:col>
      <xdr:colOff>971550</xdr:colOff>
      <xdr:row>83</xdr:row>
      <xdr:rowOff>838200</xdr:rowOff>
    </xdr:to>
    <xdr:pic>
      <xdr:nvPicPr>
        <xdr:cNvPr id="238" name="圖片 23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7750492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422</xdr:row>
      <xdr:rowOff>152400</xdr:rowOff>
    </xdr:from>
    <xdr:to>
      <xdr:col>4</xdr:col>
      <xdr:colOff>1028700</xdr:colOff>
      <xdr:row>422</xdr:row>
      <xdr:rowOff>942975</xdr:rowOff>
    </xdr:to>
    <xdr:pic>
      <xdr:nvPicPr>
        <xdr:cNvPr id="239" name="圖片 24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32267080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81</xdr:row>
      <xdr:rowOff>95250</xdr:rowOff>
    </xdr:from>
    <xdr:to>
      <xdr:col>4</xdr:col>
      <xdr:colOff>1028700</xdr:colOff>
      <xdr:row>81</xdr:row>
      <xdr:rowOff>895350</xdr:rowOff>
    </xdr:to>
    <xdr:pic>
      <xdr:nvPicPr>
        <xdr:cNvPr id="240" name="圖片 25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7551801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25</xdr:row>
      <xdr:rowOff>85725</xdr:rowOff>
    </xdr:from>
    <xdr:to>
      <xdr:col>4</xdr:col>
      <xdr:colOff>1019175</xdr:colOff>
      <xdr:row>25</xdr:row>
      <xdr:rowOff>876300</xdr:rowOff>
    </xdr:to>
    <xdr:pic>
      <xdr:nvPicPr>
        <xdr:cNvPr id="241" name="圖片 26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91700" y="188499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431</xdr:row>
      <xdr:rowOff>152400</xdr:rowOff>
    </xdr:from>
    <xdr:to>
      <xdr:col>4</xdr:col>
      <xdr:colOff>1047750</xdr:colOff>
      <xdr:row>431</xdr:row>
      <xdr:rowOff>942975</xdr:rowOff>
    </xdr:to>
    <xdr:pic>
      <xdr:nvPicPr>
        <xdr:cNvPr id="242" name="圖片 27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33079372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26</xdr:row>
      <xdr:rowOff>76200</xdr:rowOff>
    </xdr:from>
    <xdr:to>
      <xdr:col>4</xdr:col>
      <xdr:colOff>1085850</xdr:colOff>
      <xdr:row>26</xdr:row>
      <xdr:rowOff>876300</xdr:rowOff>
    </xdr:to>
    <xdr:pic>
      <xdr:nvPicPr>
        <xdr:cNvPr id="243" name="圖片 28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2077212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432</xdr:row>
      <xdr:rowOff>95250</xdr:rowOff>
    </xdr:from>
    <xdr:to>
      <xdr:col>4</xdr:col>
      <xdr:colOff>1057275</xdr:colOff>
      <xdr:row>432</xdr:row>
      <xdr:rowOff>885825</xdr:rowOff>
    </xdr:to>
    <xdr:pic>
      <xdr:nvPicPr>
        <xdr:cNvPr id="244" name="圖片 29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33175384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56</xdr:row>
      <xdr:rowOff>47625</xdr:rowOff>
    </xdr:from>
    <xdr:to>
      <xdr:col>4</xdr:col>
      <xdr:colOff>1038225</xdr:colOff>
      <xdr:row>56</xdr:row>
      <xdr:rowOff>838200</xdr:rowOff>
    </xdr:to>
    <xdr:pic>
      <xdr:nvPicPr>
        <xdr:cNvPr id="245" name="圖片 30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520731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430</xdr:row>
      <xdr:rowOff>85725</xdr:rowOff>
    </xdr:from>
    <xdr:to>
      <xdr:col>4</xdr:col>
      <xdr:colOff>1038225</xdr:colOff>
      <xdr:row>430</xdr:row>
      <xdr:rowOff>876300</xdr:rowOff>
    </xdr:to>
    <xdr:pic>
      <xdr:nvPicPr>
        <xdr:cNvPr id="246" name="圖片 840735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3297174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35</xdr:row>
      <xdr:rowOff>123825</xdr:rowOff>
    </xdr:from>
    <xdr:to>
      <xdr:col>4</xdr:col>
      <xdr:colOff>952500</xdr:colOff>
      <xdr:row>35</xdr:row>
      <xdr:rowOff>923925</xdr:rowOff>
    </xdr:to>
    <xdr:pic>
      <xdr:nvPicPr>
        <xdr:cNvPr id="247" name="圖片 840736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2987230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278946</xdr:colOff>
      <xdr:row>115</xdr:row>
      <xdr:rowOff>145597</xdr:rowOff>
    </xdr:from>
    <xdr:to>
      <xdr:col>4</xdr:col>
      <xdr:colOff>1069521</xdr:colOff>
      <xdr:row>115</xdr:row>
      <xdr:rowOff>936172</xdr:rowOff>
    </xdr:to>
    <xdr:pic>
      <xdr:nvPicPr>
        <xdr:cNvPr id="248" name="圖片 840737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1865" y="1060862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421</xdr:row>
      <xdr:rowOff>85725</xdr:rowOff>
    </xdr:from>
    <xdr:to>
      <xdr:col>4</xdr:col>
      <xdr:colOff>981075</xdr:colOff>
      <xdr:row>421</xdr:row>
      <xdr:rowOff>885825</xdr:rowOff>
    </xdr:to>
    <xdr:pic>
      <xdr:nvPicPr>
        <xdr:cNvPr id="249" name="圖片 840738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32158686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96</xdr:row>
      <xdr:rowOff>76200</xdr:rowOff>
    </xdr:from>
    <xdr:to>
      <xdr:col>4</xdr:col>
      <xdr:colOff>942975</xdr:colOff>
      <xdr:row>96</xdr:row>
      <xdr:rowOff>942975</xdr:rowOff>
    </xdr:to>
    <xdr:pic>
      <xdr:nvPicPr>
        <xdr:cNvPr id="250" name="圖片 840739" descr="畫面剪輯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87706200"/>
          <a:ext cx="790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426</xdr:row>
      <xdr:rowOff>104775</xdr:rowOff>
    </xdr:from>
    <xdr:to>
      <xdr:col>4</xdr:col>
      <xdr:colOff>952500</xdr:colOff>
      <xdr:row>426</xdr:row>
      <xdr:rowOff>904875</xdr:rowOff>
    </xdr:to>
    <xdr:pic>
      <xdr:nvPicPr>
        <xdr:cNvPr id="251" name="圖片 840740" descr="畫面剪輯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326692260"/>
          <a:ext cx="781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262</xdr:row>
      <xdr:rowOff>123825</xdr:rowOff>
    </xdr:from>
    <xdr:to>
      <xdr:col>4</xdr:col>
      <xdr:colOff>1009650</xdr:colOff>
      <xdr:row>262</xdr:row>
      <xdr:rowOff>942975</xdr:rowOff>
    </xdr:to>
    <xdr:pic>
      <xdr:nvPicPr>
        <xdr:cNvPr id="252" name="圖片 840741" descr="畫面剪輯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9802475"/>
          <a:ext cx="838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44</xdr:row>
      <xdr:rowOff>76200</xdr:rowOff>
    </xdr:from>
    <xdr:to>
      <xdr:col>4</xdr:col>
      <xdr:colOff>914400</xdr:colOff>
      <xdr:row>44</xdr:row>
      <xdr:rowOff>962025</xdr:rowOff>
    </xdr:to>
    <xdr:pic>
      <xdr:nvPicPr>
        <xdr:cNvPr id="253" name="圖片 840742" descr="畫面剪輯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38877240"/>
          <a:ext cx="7429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204</xdr:row>
      <xdr:rowOff>85725</xdr:rowOff>
    </xdr:from>
    <xdr:to>
      <xdr:col>4</xdr:col>
      <xdr:colOff>990600</xdr:colOff>
      <xdr:row>204</xdr:row>
      <xdr:rowOff>885825</xdr:rowOff>
    </xdr:to>
    <xdr:pic>
      <xdr:nvPicPr>
        <xdr:cNvPr id="254" name="圖片 253" descr="畫面剪輯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194529075"/>
          <a:ext cx="695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65</xdr:row>
      <xdr:rowOff>123825</xdr:rowOff>
    </xdr:from>
    <xdr:to>
      <xdr:col>4</xdr:col>
      <xdr:colOff>952500</xdr:colOff>
      <xdr:row>65</xdr:row>
      <xdr:rowOff>923925</xdr:rowOff>
    </xdr:to>
    <xdr:pic>
      <xdr:nvPicPr>
        <xdr:cNvPr id="255" name="圖片 840736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6028753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47</xdr:row>
      <xdr:rowOff>123825</xdr:rowOff>
    </xdr:from>
    <xdr:to>
      <xdr:col>4</xdr:col>
      <xdr:colOff>952500</xdr:colOff>
      <xdr:row>47</xdr:row>
      <xdr:rowOff>923925</xdr:rowOff>
    </xdr:to>
    <xdr:pic>
      <xdr:nvPicPr>
        <xdr:cNvPr id="256" name="圖片 840736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419766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49</xdr:row>
      <xdr:rowOff>123825</xdr:rowOff>
    </xdr:from>
    <xdr:to>
      <xdr:col>4</xdr:col>
      <xdr:colOff>952500</xdr:colOff>
      <xdr:row>49</xdr:row>
      <xdr:rowOff>923925</xdr:rowOff>
    </xdr:to>
    <xdr:pic>
      <xdr:nvPicPr>
        <xdr:cNvPr id="257" name="圖片 840736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4401121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157</xdr:row>
      <xdr:rowOff>76200</xdr:rowOff>
    </xdr:from>
    <xdr:to>
      <xdr:col>4</xdr:col>
      <xdr:colOff>942975</xdr:colOff>
      <xdr:row>157</xdr:row>
      <xdr:rowOff>942975</xdr:rowOff>
    </xdr:to>
    <xdr:pic>
      <xdr:nvPicPr>
        <xdr:cNvPr id="258" name="圖片 840739" descr="畫面剪輯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149759670"/>
          <a:ext cx="790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190</xdr:row>
      <xdr:rowOff>76200</xdr:rowOff>
    </xdr:from>
    <xdr:to>
      <xdr:col>4</xdr:col>
      <xdr:colOff>942975</xdr:colOff>
      <xdr:row>190</xdr:row>
      <xdr:rowOff>942975</xdr:rowOff>
    </xdr:to>
    <xdr:pic>
      <xdr:nvPicPr>
        <xdr:cNvPr id="259" name="圖片 840739" descr="畫面剪輯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180277770"/>
          <a:ext cx="790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177</xdr:row>
      <xdr:rowOff>76200</xdr:rowOff>
    </xdr:from>
    <xdr:to>
      <xdr:col>4</xdr:col>
      <xdr:colOff>942975</xdr:colOff>
      <xdr:row>177</xdr:row>
      <xdr:rowOff>942975</xdr:rowOff>
    </xdr:to>
    <xdr:pic>
      <xdr:nvPicPr>
        <xdr:cNvPr id="260" name="圖片 840739" descr="畫面剪輯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168070530"/>
          <a:ext cx="790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195</xdr:row>
      <xdr:rowOff>104775</xdr:rowOff>
    </xdr:from>
    <xdr:to>
      <xdr:col>4</xdr:col>
      <xdr:colOff>952500</xdr:colOff>
      <xdr:row>195</xdr:row>
      <xdr:rowOff>904875</xdr:rowOff>
    </xdr:to>
    <xdr:pic>
      <xdr:nvPicPr>
        <xdr:cNvPr id="261" name="圖片 840740" descr="畫面剪輯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85392695"/>
          <a:ext cx="781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40</xdr:row>
      <xdr:rowOff>104775</xdr:rowOff>
    </xdr:from>
    <xdr:to>
      <xdr:col>4</xdr:col>
      <xdr:colOff>952500</xdr:colOff>
      <xdr:row>40</xdr:row>
      <xdr:rowOff>904875</xdr:rowOff>
    </xdr:to>
    <xdr:pic>
      <xdr:nvPicPr>
        <xdr:cNvPr id="262" name="圖片 840740" descr="畫面剪輯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34836735"/>
          <a:ext cx="781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442</xdr:row>
      <xdr:rowOff>104775</xdr:rowOff>
    </xdr:from>
    <xdr:to>
      <xdr:col>4</xdr:col>
      <xdr:colOff>952500</xdr:colOff>
      <xdr:row>442</xdr:row>
      <xdr:rowOff>904875</xdr:rowOff>
    </xdr:to>
    <xdr:pic>
      <xdr:nvPicPr>
        <xdr:cNvPr id="263" name="圖片 840740" descr="畫面剪輯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337430745"/>
          <a:ext cx="781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146</xdr:row>
      <xdr:rowOff>95250</xdr:rowOff>
    </xdr:from>
    <xdr:to>
      <xdr:col>4</xdr:col>
      <xdr:colOff>1028700</xdr:colOff>
      <xdr:row>146</xdr:row>
      <xdr:rowOff>895350</xdr:rowOff>
    </xdr:to>
    <xdr:pic>
      <xdr:nvPicPr>
        <xdr:cNvPr id="264" name="圖片 25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13757148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18</xdr:row>
      <xdr:rowOff>95250</xdr:rowOff>
    </xdr:from>
    <xdr:to>
      <xdr:col>4</xdr:col>
      <xdr:colOff>1028700</xdr:colOff>
      <xdr:row>18</xdr:row>
      <xdr:rowOff>895350</xdr:rowOff>
    </xdr:to>
    <xdr:pic>
      <xdr:nvPicPr>
        <xdr:cNvPr id="265" name="圖片 25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1194435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186</xdr:row>
      <xdr:rowOff>95250</xdr:rowOff>
    </xdr:from>
    <xdr:to>
      <xdr:col>4</xdr:col>
      <xdr:colOff>1028700</xdr:colOff>
      <xdr:row>186</xdr:row>
      <xdr:rowOff>895350</xdr:rowOff>
    </xdr:to>
    <xdr:pic>
      <xdr:nvPicPr>
        <xdr:cNvPr id="266" name="圖片 25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17724501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59</xdr:row>
      <xdr:rowOff>85725</xdr:rowOff>
    </xdr:from>
    <xdr:to>
      <xdr:col>4</xdr:col>
      <xdr:colOff>1019175</xdr:colOff>
      <xdr:row>59</xdr:row>
      <xdr:rowOff>876300</xdr:rowOff>
    </xdr:to>
    <xdr:pic>
      <xdr:nvPicPr>
        <xdr:cNvPr id="267" name="圖片 26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91700" y="5516308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166</xdr:row>
      <xdr:rowOff>85725</xdr:rowOff>
    </xdr:from>
    <xdr:to>
      <xdr:col>4</xdr:col>
      <xdr:colOff>1019175</xdr:colOff>
      <xdr:row>166</xdr:row>
      <xdr:rowOff>876300</xdr:rowOff>
    </xdr:to>
    <xdr:pic>
      <xdr:nvPicPr>
        <xdr:cNvPr id="268" name="圖片 26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91700" y="1538382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124</xdr:row>
      <xdr:rowOff>85725</xdr:rowOff>
    </xdr:from>
    <xdr:to>
      <xdr:col>4</xdr:col>
      <xdr:colOff>1019175</xdr:colOff>
      <xdr:row>124</xdr:row>
      <xdr:rowOff>876300</xdr:rowOff>
    </xdr:to>
    <xdr:pic>
      <xdr:nvPicPr>
        <xdr:cNvPr id="269" name="圖片 26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91700" y="11518201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181</xdr:row>
      <xdr:rowOff>152400</xdr:rowOff>
    </xdr:from>
    <xdr:to>
      <xdr:col>4</xdr:col>
      <xdr:colOff>1047750</xdr:colOff>
      <xdr:row>181</xdr:row>
      <xdr:rowOff>942975</xdr:rowOff>
    </xdr:to>
    <xdr:pic>
      <xdr:nvPicPr>
        <xdr:cNvPr id="270" name="圖片 27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17221581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149</xdr:row>
      <xdr:rowOff>152400</xdr:rowOff>
    </xdr:from>
    <xdr:to>
      <xdr:col>4</xdr:col>
      <xdr:colOff>1047750</xdr:colOff>
      <xdr:row>149</xdr:row>
      <xdr:rowOff>942975</xdr:rowOff>
    </xdr:to>
    <xdr:pic>
      <xdr:nvPicPr>
        <xdr:cNvPr id="271" name="圖片 27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14068044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82</xdr:row>
      <xdr:rowOff>152400</xdr:rowOff>
    </xdr:from>
    <xdr:to>
      <xdr:col>4</xdr:col>
      <xdr:colOff>1047750</xdr:colOff>
      <xdr:row>82</xdr:row>
      <xdr:rowOff>942975</xdr:rowOff>
    </xdr:to>
    <xdr:pic>
      <xdr:nvPicPr>
        <xdr:cNvPr id="272" name="圖片 27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7659243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170</xdr:row>
      <xdr:rowOff>76200</xdr:rowOff>
    </xdr:from>
    <xdr:to>
      <xdr:col>4</xdr:col>
      <xdr:colOff>1085850</xdr:colOff>
      <xdr:row>170</xdr:row>
      <xdr:rowOff>876300</xdr:rowOff>
    </xdr:to>
    <xdr:pic>
      <xdr:nvPicPr>
        <xdr:cNvPr id="273" name="圖片 28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15891510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425</xdr:row>
      <xdr:rowOff>76200</xdr:rowOff>
    </xdr:from>
    <xdr:to>
      <xdr:col>4</xdr:col>
      <xdr:colOff>1085850</xdr:colOff>
      <xdr:row>425</xdr:row>
      <xdr:rowOff>876300</xdr:rowOff>
    </xdr:to>
    <xdr:pic>
      <xdr:nvPicPr>
        <xdr:cNvPr id="274" name="圖片 28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325646415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106</xdr:row>
      <xdr:rowOff>76200</xdr:rowOff>
    </xdr:from>
    <xdr:to>
      <xdr:col>4</xdr:col>
      <xdr:colOff>1085850</xdr:colOff>
      <xdr:row>106</xdr:row>
      <xdr:rowOff>876300</xdr:rowOff>
    </xdr:to>
    <xdr:pic>
      <xdr:nvPicPr>
        <xdr:cNvPr id="275" name="圖片 28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58375" y="97878900"/>
          <a:ext cx="7905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66</xdr:row>
      <xdr:rowOff>95250</xdr:rowOff>
    </xdr:from>
    <xdr:to>
      <xdr:col>4</xdr:col>
      <xdr:colOff>1057275</xdr:colOff>
      <xdr:row>66</xdr:row>
      <xdr:rowOff>885825</xdr:rowOff>
    </xdr:to>
    <xdr:pic>
      <xdr:nvPicPr>
        <xdr:cNvPr id="276" name="圖片 29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6127623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32</xdr:row>
      <xdr:rowOff>95250</xdr:rowOff>
    </xdr:from>
    <xdr:to>
      <xdr:col>4</xdr:col>
      <xdr:colOff>1057275</xdr:colOff>
      <xdr:row>32</xdr:row>
      <xdr:rowOff>885825</xdr:rowOff>
    </xdr:to>
    <xdr:pic>
      <xdr:nvPicPr>
        <xdr:cNvPr id="277" name="圖片 29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2679192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418</xdr:row>
      <xdr:rowOff>95250</xdr:rowOff>
    </xdr:from>
    <xdr:to>
      <xdr:col>4</xdr:col>
      <xdr:colOff>1057275</xdr:colOff>
      <xdr:row>418</xdr:row>
      <xdr:rowOff>885825</xdr:rowOff>
    </xdr:to>
    <xdr:pic>
      <xdr:nvPicPr>
        <xdr:cNvPr id="278" name="圖片 29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9800" y="3185445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88</xdr:row>
      <xdr:rowOff>47625</xdr:rowOff>
    </xdr:from>
    <xdr:to>
      <xdr:col>4</xdr:col>
      <xdr:colOff>1038225</xdr:colOff>
      <xdr:row>88</xdr:row>
      <xdr:rowOff>838200</xdr:rowOff>
    </xdr:to>
    <xdr:pic>
      <xdr:nvPicPr>
        <xdr:cNvPr id="279" name="圖片 30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825912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112</xdr:row>
      <xdr:rowOff>47625</xdr:rowOff>
    </xdr:from>
    <xdr:to>
      <xdr:col>4</xdr:col>
      <xdr:colOff>1038225</xdr:colOff>
      <xdr:row>112</xdr:row>
      <xdr:rowOff>838200</xdr:rowOff>
    </xdr:to>
    <xdr:pic>
      <xdr:nvPicPr>
        <xdr:cNvPr id="280" name="圖片 30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1029366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131</xdr:row>
      <xdr:rowOff>47625</xdr:rowOff>
    </xdr:from>
    <xdr:to>
      <xdr:col>4</xdr:col>
      <xdr:colOff>1038225</xdr:colOff>
      <xdr:row>131</xdr:row>
      <xdr:rowOff>838200</xdr:rowOff>
    </xdr:to>
    <xdr:pic>
      <xdr:nvPicPr>
        <xdr:cNvPr id="281" name="圖片 30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1232820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167</xdr:row>
      <xdr:rowOff>85725</xdr:rowOff>
    </xdr:from>
    <xdr:to>
      <xdr:col>4</xdr:col>
      <xdr:colOff>1038225</xdr:colOff>
      <xdr:row>167</xdr:row>
      <xdr:rowOff>876300</xdr:rowOff>
    </xdr:to>
    <xdr:pic>
      <xdr:nvPicPr>
        <xdr:cNvPr id="282" name="圖片 840735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15485554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424</xdr:row>
      <xdr:rowOff>85725</xdr:rowOff>
    </xdr:from>
    <xdr:to>
      <xdr:col>4</xdr:col>
      <xdr:colOff>1038225</xdr:colOff>
      <xdr:row>424</xdr:row>
      <xdr:rowOff>876300</xdr:rowOff>
    </xdr:to>
    <xdr:pic>
      <xdr:nvPicPr>
        <xdr:cNvPr id="283" name="圖片 840735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32463867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429</xdr:row>
      <xdr:rowOff>85725</xdr:rowOff>
    </xdr:from>
    <xdr:to>
      <xdr:col>4</xdr:col>
      <xdr:colOff>1038225</xdr:colOff>
      <xdr:row>429</xdr:row>
      <xdr:rowOff>876300</xdr:rowOff>
    </xdr:to>
    <xdr:pic>
      <xdr:nvPicPr>
        <xdr:cNvPr id="284" name="圖片 840735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0750" y="3287077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128</xdr:row>
      <xdr:rowOff>133350</xdr:rowOff>
    </xdr:from>
    <xdr:to>
      <xdr:col>4</xdr:col>
      <xdr:colOff>752475</xdr:colOff>
      <xdr:row>128</xdr:row>
      <xdr:rowOff>800100</xdr:rowOff>
    </xdr:to>
    <xdr:pic>
      <xdr:nvPicPr>
        <xdr:cNvPr id="285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11929872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182</xdr:row>
      <xdr:rowOff>133350</xdr:rowOff>
    </xdr:from>
    <xdr:to>
      <xdr:col>4</xdr:col>
      <xdr:colOff>752475</xdr:colOff>
      <xdr:row>182</xdr:row>
      <xdr:rowOff>800100</xdr:rowOff>
    </xdr:to>
    <xdr:pic>
      <xdr:nvPicPr>
        <xdr:cNvPr id="286" name="圖片 286" descr="畫面剪輯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17321403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</xdr:row>
      <xdr:rowOff>133350</xdr:rowOff>
    </xdr:from>
    <xdr:to>
      <xdr:col>4</xdr:col>
      <xdr:colOff>752475</xdr:colOff>
      <xdr:row>2</xdr:row>
      <xdr:rowOff>800100</xdr:rowOff>
    </xdr:to>
    <xdr:pic>
      <xdr:nvPicPr>
        <xdr:cNvPr id="287" name="圖片 287" descr="畫面剪輯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191262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103</xdr:row>
      <xdr:rowOff>133350</xdr:rowOff>
    </xdr:from>
    <xdr:to>
      <xdr:col>4</xdr:col>
      <xdr:colOff>752475</xdr:colOff>
      <xdr:row>103</xdr:row>
      <xdr:rowOff>800100</xdr:rowOff>
    </xdr:to>
    <xdr:pic>
      <xdr:nvPicPr>
        <xdr:cNvPr id="288" name="圖片 288" descr="畫面剪輯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94884240"/>
          <a:ext cx="638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150</xdr:row>
      <xdr:rowOff>228600</xdr:rowOff>
    </xdr:from>
    <xdr:to>
      <xdr:col>4</xdr:col>
      <xdr:colOff>828675</xdr:colOff>
      <xdr:row>150</xdr:row>
      <xdr:rowOff>847725</xdr:rowOff>
    </xdr:to>
    <xdr:pic>
      <xdr:nvPicPr>
        <xdr:cNvPr id="289" name="圖片 3" descr="畫面剪輯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141773910"/>
          <a:ext cx="571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37</xdr:row>
      <xdr:rowOff>228600</xdr:rowOff>
    </xdr:from>
    <xdr:to>
      <xdr:col>4</xdr:col>
      <xdr:colOff>809625</xdr:colOff>
      <xdr:row>37</xdr:row>
      <xdr:rowOff>847725</xdr:rowOff>
    </xdr:to>
    <xdr:pic>
      <xdr:nvPicPr>
        <xdr:cNvPr id="290" name="圖片 290" descr="畫面剪輯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31908750"/>
          <a:ext cx="571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196</xdr:row>
      <xdr:rowOff>228600</xdr:rowOff>
    </xdr:from>
    <xdr:to>
      <xdr:col>4</xdr:col>
      <xdr:colOff>828675</xdr:colOff>
      <xdr:row>196</xdr:row>
      <xdr:rowOff>847725</xdr:rowOff>
    </xdr:to>
    <xdr:pic>
      <xdr:nvPicPr>
        <xdr:cNvPr id="291" name="圖片 291" descr="畫面剪輯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186533790"/>
          <a:ext cx="571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336550</xdr:colOff>
      <xdr:row>451</xdr:row>
      <xdr:rowOff>193675</xdr:rowOff>
    </xdr:from>
    <xdr:to>
      <xdr:col>4</xdr:col>
      <xdr:colOff>984250</xdr:colOff>
      <xdr:row>451</xdr:row>
      <xdr:rowOff>895350</xdr:rowOff>
    </xdr:to>
    <xdr:pic>
      <xdr:nvPicPr>
        <xdr:cNvPr id="292" name="圖片 292" descr="畫面剪輯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99650" y="385125595"/>
          <a:ext cx="647700" cy="70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2</xdr:row>
      <xdr:rowOff>114300</xdr:rowOff>
    </xdr:from>
    <xdr:to>
      <xdr:col>6</xdr:col>
      <xdr:colOff>1562100</xdr:colOff>
      <xdr:row>2</xdr:row>
      <xdr:rowOff>857250</xdr:rowOff>
    </xdr:to>
    <xdr:pic>
      <xdr:nvPicPr>
        <xdr:cNvPr id="293" name="圖片 5" descr="畫面剪輯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1893570"/>
          <a:ext cx="1409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288706</xdr:colOff>
      <xdr:row>6</xdr:row>
      <xdr:rowOff>173092</xdr:rowOff>
    </xdr:from>
    <xdr:to>
      <xdr:col>6</xdr:col>
      <xdr:colOff>1746031</xdr:colOff>
      <xdr:row>6</xdr:row>
      <xdr:rowOff>858892</xdr:rowOff>
    </xdr:to>
    <xdr:pic>
      <xdr:nvPicPr>
        <xdr:cNvPr id="295" name="圖片 7" descr="畫面剪輯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6956" y="4999092"/>
          <a:ext cx="1457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18</xdr:row>
      <xdr:rowOff>142875</xdr:rowOff>
    </xdr:from>
    <xdr:to>
      <xdr:col>6</xdr:col>
      <xdr:colOff>1609725</xdr:colOff>
      <xdr:row>18</xdr:row>
      <xdr:rowOff>857250</xdr:rowOff>
    </xdr:to>
    <xdr:pic>
      <xdr:nvPicPr>
        <xdr:cNvPr id="296" name="圖片 8" descr="畫面剪輯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41125" y="11985625"/>
          <a:ext cx="1466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26</xdr:row>
      <xdr:rowOff>133350</xdr:rowOff>
    </xdr:from>
    <xdr:to>
      <xdr:col>6</xdr:col>
      <xdr:colOff>1590675</xdr:colOff>
      <xdr:row>26</xdr:row>
      <xdr:rowOff>904875</xdr:rowOff>
    </xdr:to>
    <xdr:pic>
      <xdr:nvPicPr>
        <xdr:cNvPr id="298" name="圖片 10" descr="畫面剪輯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20829270"/>
          <a:ext cx="1409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37</xdr:row>
      <xdr:rowOff>142875</xdr:rowOff>
    </xdr:from>
    <xdr:to>
      <xdr:col>6</xdr:col>
      <xdr:colOff>1685925</xdr:colOff>
      <xdr:row>37</xdr:row>
      <xdr:rowOff>847725</xdr:rowOff>
    </xdr:to>
    <xdr:pic>
      <xdr:nvPicPr>
        <xdr:cNvPr id="299" name="圖片 11" descr="畫面剪輯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69700" y="31829375"/>
          <a:ext cx="1514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40</xdr:row>
      <xdr:rowOff>85725</xdr:rowOff>
    </xdr:from>
    <xdr:to>
      <xdr:col>6</xdr:col>
      <xdr:colOff>1685925</xdr:colOff>
      <xdr:row>40</xdr:row>
      <xdr:rowOff>857250</xdr:rowOff>
    </xdr:to>
    <xdr:pic>
      <xdr:nvPicPr>
        <xdr:cNvPr id="301" name="圖片 13" descr="畫面剪輯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34817685"/>
          <a:ext cx="14573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44</xdr:row>
      <xdr:rowOff>114300</xdr:rowOff>
    </xdr:from>
    <xdr:to>
      <xdr:col>6</xdr:col>
      <xdr:colOff>1657350</xdr:colOff>
      <xdr:row>44</xdr:row>
      <xdr:rowOff>857250</xdr:rowOff>
    </xdr:to>
    <xdr:pic>
      <xdr:nvPicPr>
        <xdr:cNvPr id="302" name="圖片 14" descr="畫面剪輯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38915340"/>
          <a:ext cx="1419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45</xdr:row>
      <xdr:rowOff>123825</xdr:rowOff>
    </xdr:from>
    <xdr:to>
      <xdr:col>6</xdr:col>
      <xdr:colOff>1628775</xdr:colOff>
      <xdr:row>45</xdr:row>
      <xdr:rowOff>847725</xdr:rowOff>
    </xdr:to>
    <xdr:pic>
      <xdr:nvPicPr>
        <xdr:cNvPr id="303" name="圖片 15" descr="畫面剪輯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39942135"/>
          <a:ext cx="1428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50</xdr:row>
      <xdr:rowOff>85725</xdr:rowOff>
    </xdr:from>
    <xdr:to>
      <xdr:col>6</xdr:col>
      <xdr:colOff>1695450</xdr:colOff>
      <xdr:row>50</xdr:row>
      <xdr:rowOff>828675</xdr:rowOff>
    </xdr:to>
    <xdr:pic>
      <xdr:nvPicPr>
        <xdr:cNvPr id="304" name="圖片 16" descr="畫面剪輯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44990385"/>
          <a:ext cx="1381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81</xdr:row>
      <xdr:rowOff>57150</xdr:rowOff>
    </xdr:from>
    <xdr:to>
      <xdr:col>6</xdr:col>
      <xdr:colOff>1609725</xdr:colOff>
      <xdr:row>81</xdr:row>
      <xdr:rowOff>790575</xdr:rowOff>
    </xdr:to>
    <xdr:pic>
      <xdr:nvPicPr>
        <xdr:cNvPr id="305" name="圖片 17" descr="畫面剪輯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31600" y="75431650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219075</xdr:colOff>
      <xdr:row>82</xdr:row>
      <xdr:rowOff>123845</xdr:rowOff>
    </xdr:from>
    <xdr:to>
      <xdr:col>6</xdr:col>
      <xdr:colOff>1746251</xdr:colOff>
      <xdr:row>82</xdr:row>
      <xdr:rowOff>917575</xdr:rowOff>
    </xdr:to>
    <xdr:pic>
      <xdr:nvPicPr>
        <xdr:cNvPr id="306" name="圖片 18" descr="畫面剪輯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17325" y="76514345"/>
          <a:ext cx="1527176" cy="79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96</xdr:row>
      <xdr:rowOff>114300</xdr:rowOff>
    </xdr:from>
    <xdr:to>
      <xdr:col>6</xdr:col>
      <xdr:colOff>1619250</xdr:colOff>
      <xdr:row>96</xdr:row>
      <xdr:rowOff>885825</xdr:rowOff>
    </xdr:to>
    <xdr:pic>
      <xdr:nvPicPr>
        <xdr:cNvPr id="307" name="圖片 19" descr="畫面剪輯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77575" y="87744300"/>
          <a:ext cx="1504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103</xdr:row>
      <xdr:rowOff>104775</xdr:rowOff>
    </xdr:from>
    <xdr:to>
      <xdr:col>6</xdr:col>
      <xdr:colOff>1590675</xdr:colOff>
      <xdr:row>103</xdr:row>
      <xdr:rowOff>847725</xdr:rowOff>
    </xdr:to>
    <xdr:pic>
      <xdr:nvPicPr>
        <xdr:cNvPr id="308" name="圖片 20" descr="畫面剪輯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94855665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106</xdr:row>
      <xdr:rowOff>104775</xdr:rowOff>
    </xdr:from>
    <xdr:to>
      <xdr:col>6</xdr:col>
      <xdr:colOff>1514475</xdr:colOff>
      <xdr:row>106</xdr:row>
      <xdr:rowOff>866775</xdr:rowOff>
    </xdr:to>
    <xdr:pic>
      <xdr:nvPicPr>
        <xdr:cNvPr id="309" name="圖片 21" descr="畫面剪輯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0" y="97907475"/>
          <a:ext cx="1438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108</xdr:row>
      <xdr:rowOff>38100</xdr:rowOff>
    </xdr:from>
    <xdr:to>
      <xdr:col>6</xdr:col>
      <xdr:colOff>1533525</xdr:colOff>
      <xdr:row>108</xdr:row>
      <xdr:rowOff>819150</xdr:rowOff>
    </xdr:to>
    <xdr:pic>
      <xdr:nvPicPr>
        <xdr:cNvPr id="310" name="圖片 22" descr="畫面剪輯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99875340"/>
          <a:ext cx="13906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113</xdr:row>
      <xdr:rowOff>114300</xdr:rowOff>
    </xdr:from>
    <xdr:to>
      <xdr:col>6</xdr:col>
      <xdr:colOff>1600200</xdr:colOff>
      <xdr:row>113</xdr:row>
      <xdr:rowOff>857250</xdr:rowOff>
    </xdr:to>
    <xdr:pic>
      <xdr:nvPicPr>
        <xdr:cNvPr id="311" name="圖片 23" descr="畫面剪輯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104020620"/>
          <a:ext cx="14573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115</xdr:row>
      <xdr:rowOff>142875</xdr:rowOff>
    </xdr:from>
    <xdr:to>
      <xdr:col>6</xdr:col>
      <xdr:colOff>1600200</xdr:colOff>
      <xdr:row>115</xdr:row>
      <xdr:rowOff>904875</xdr:rowOff>
    </xdr:to>
    <xdr:pic>
      <xdr:nvPicPr>
        <xdr:cNvPr id="312" name="圖片 24" descr="畫面剪輯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106083735"/>
          <a:ext cx="1447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128</xdr:row>
      <xdr:rowOff>66675</xdr:rowOff>
    </xdr:from>
    <xdr:to>
      <xdr:col>6</xdr:col>
      <xdr:colOff>1590675</xdr:colOff>
      <xdr:row>128</xdr:row>
      <xdr:rowOff>809625</xdr:rowOff>
    </xdr:to>
    <xdr:pic>
      <xdr:nvPicPr>
        <xdr:cNvPr id="313" name="圖片 25" descr="畫面剪輯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19232045"/>
          <a:ext cx="14763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129</xdr:row>
      <xdr:rowOff>66675</xdr:rowOff>
    </xdr:from>
    <xdr:to>
      <xdr:col>6</xdr:col>
      <xdr:colOff>1704975</xdr:colOff>
      <xdr:row>129</xdr:row>
      <xdr:rowOff>895350</xdr:rowOff>
    </xdr:to>
    <xdr:pic>
      <xdr:nvPicPr>
        <xdr:cNvPr id="314" name="圖片 26" descr="畫面剪輯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10925" y="120249315"/>
          <a:ext cx="1371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146</xdr:row>
      <xdr:rowOff>76200</xdr:rowOff>
    </xdr:from>
    <xdr:to>
      <xdr:col>6</xdr:col>
      <xdr:colOff>1581150</xdr:colOff>
      <xdr:row>146</xdr:row>
      <xdr:rowOff>847725</xdr:rowOff>
    </xdr:to>
    <xdr:pic>
      <xdr:nvPicPr>
        <xdr:cNvPr id="315" name="圖片 27" descr="畫面剪輯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77575" y="137552430"/>
          <a:ext cx="1476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149</xdr:row>
      <xdr:rowOff>85725</xdr:rowOff>
    </xdr:from>
    <xdr:to>
      <xdr:col>6</xdr:col>
      <xdr:colOff>1504950</xdr:colOff>
      <xdr:row>149</xdr:row>
      <xdr:rowOff>857250</xdr:rowOff>
    </xdr:to>
    <xdr:pic>
      <xdr:nvPicPr>
        <xdr:cNvPr id="316" name="圖片 28" descr="畫面剪輯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140613765"/>
          <a:ext cx="14192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247650</xdr:colOff>
      <xdr:row>150</xdr:row>
      <xdr:rowOff>123825</xdr:rowOff>
    </xdr:from>
    <xdr:to>
      <xdr:col>6</xdr:col>
      <xdr:colOff>1647825</xdr:colOff>
      <xdr:row>150</xdr:row>
      <xdr:rowOff>866775</xdr:rowOff>
    </xdr:to>
    <xdr:pic>
      <xdr:nvPicPr>
        <xdr:cNvPr id="317" name="圖片 29" descr="畫面剪輯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20450" y="141669135"/>
          <a:ext cx="1362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154</xdr:row>
      <xdr:rowOff>114300</xdr:rowOff>
    </xdr:from>
    <xdr:to>
      <xdr:col>6</xdr:col>
      <xdr:colOff>1590675</xdr:colOff>
      <xdr:row>154</xdr:row>
      <xdr:rowOff>847725</xdr:rowOff>
    </xdr:to>
    <xdr:pic>
      <xdr:nvPicPr>
        <xdr:cNvPr id="318" name="圖片 30" descr="畫面剪輯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46745960"/>
          <a:ext cx="14097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157</xdr:row>
      <xdr:rowOff>38100</xdr:rowOff>
    </xdr:from>
    <xdr:to>
      <xdr:col>6</xdr:col>
      <xdr:colOff>1685925</xdr:colOff>
      <xdr:row>157</xdr:row>
      <xdr:rowOff>828675</xdr:rowOff>
    </xdr:to>
    <xdr:pic>
      <xdr:nvPicPr>
        <xdr:cNvPr id="319" name="圖片 846399" descr="畫面剪輯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49721570"/>
          <a:ext cx="1428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167</xdr:row>
      <xdr:rowOff>114300</xdr:rowOff>
    </xdr:from>
    <xdr:to>
      <xdr:col>6</xdr:col>
      <xdr:colOff>1581150</xdr:colOff>
      <xdr:row>167</xdr:row>
      <xdr:rowOff>819150</xdr:rowOff>
    </xdr:to>
    <xdr:pic>
      <xdr:nvPicPr>
        <xdr:cNvPr id="320" name="圖片 846400" descr="畫面剪輯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154884120"/>
          <a:ext cx="1447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170</xdr:row>
      <xdr:rowOff>104775</xdr:rowOff>
    </xdr:from>
    <xdr:to>
      <xdr:col>6</xdr:col>
      <xdr:colOff>1590675</xdr:colOff>
      <xdr:row>170</xdr:row>
      <xdr:rowOff>866775</xdr:rowOff>
    </xdr:to>
    <xdr:pic>
      <xdr:nvPicPr>
        <xdr:cNvPr id="321" name="圖片 846401" descr="畫面剪輯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58943675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176</xdr:row>
      <xdr:rowOff>76200</xdr:rowOff>
    </xdr:from>
    <xdr:to>
      <xdr:col>6</xdr:col>
      <xdr:colOff>1533525</xdr:colOff>
      <xdr:row>176</xdr:row>
      <xdr:rowOff>800100</xdr:rowOff>
    </xdr:to>
    <xdr:pic>
      <xdr:nvPicPr>
        <xdr:cNvPr id="322" name="圖片 846402" descr="畫面剪輯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67053260"/>
          <a:ext cx="14192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177</xdr:row>
      <xdr:rowOff>133350</xdr:rowOff>
    </xdr:from>
    <xdr:to>
      <xdr:col>6</xdr:col>
      <xdr:colOff>1571625</xdr:colOff>
      <xdr:row>177</xdr:row>
      <xdr:rowOff>876300</xdr:rowOff>
    </xdr:to>
    <xdr:pic>
      <xdr:nvPicPr>
        <xdr:cNvPr id="323" name="圖片 846403" descr="畫面剪輯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77575" y="168127680"/>
          <a:ext cx="1466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181</xdr:row>
      <xdr:rowOff>66675</xdr:rowOff>
    </xdr:from>
    <xdr:to>
      <xdr:col>6</xdr:col>
      <xdr:colOff>1543050</xdr:colOff>
      <xdr:row>181</xdr:row>
      <xdr:rowOff>781050</xdr:rowOff>
    </xdr:to>
    <xdr:pic>
      <xdr:nvPicPr>
        <xdr:cNvPr id="324" name="圖片 846404" descr="畫面剪輯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172130085"/>
          <a:ext cx="1419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182</xdr:row>
      <xdr:rowOff>114300</xdr:rowOff>
    </xdr:from>
    <xdr:to>
      <xdr:col>6</xdr:col>
      <xdr:colOff>1581150</xdr:colOff>
      <xdr:row>182</xdr:row>
      <xdr:rowOff>923925</xdr:rowOff>
    </xdr:to>
    <xdr:pic>
      <xdr:nvPicPr>
        <xdr:cNvPr id="325" name="圖片 846405" descr="畫面剪輯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73194980"/>
          <a:ext cx="1466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186</xdr:row>
      <xdr:rowOff>76200</xdr:rowOff>
    </xdr:from>
    <xdr:to>
      <xdr:col>6</xdr:col>
      <xdr:colOff>1581150</xdr:colOff>
      <xdr:row>186</xdr:row>
      <xdr:rowOff>876300</xdr:rowOff>
    </xdr:to>
    <xdr:pic>
      <xdr:nvPicPr>
        <xdr:cNvPr id="326" name="圖片 846406" descr="畫面剪輯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77225960"/>
          <a:ext cx="14668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190</xdr:row>
      <xdr:rowOff>123825</xdr:rowOff>
    </xdr:from>
    <xdr:to>
      <xdr:col>6</xdr:col>
      <xdr:colOff>1571625</xdr:colOff>
      <xdr:row>190</xdr:row>
      <xdr:rowOff>904875</xdr:rowOff>
    </xdr:to>
    <xdr:pic>
      <xdr:nvPicPr>
        <xdr:cNvPr id="327" name="圖片 846407" descr="畫面剪輯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80325395"/>
          <a:ext cx="1457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195</xdr:row>
      <xdr:rowOff>85725</xdr:rowOff>
    </xdr:from>
    <xdr:to>
      <xdr:col>6</xdr:col>
      <xdr:colOff>1543050</xdr:colOff>
      <xdr:row>195</xdr:row>
      <xdr:rowOff>838200</xdr:rowOff>
    </xdr:to>
    <xdr:pic>
      <xdr:nvPicPr>
        <xdr:cNvPr id="328" name="圖片 846408" descr="畫面剪輯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0" y="185373645"/>
          <a:ext cx="1466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196</xdr:row>
      <xdr:rowOff>171450</xdr:rowOff>
    </xdr:from>
    <xdr:to>
      <xdr:col>6</xdr:col>
      <xdr:colOff>1666875</xdr:colOff>
      <xdr:row>196</xdr:row>
      <xdr:rowOff>923925</xdr:rowOff>
    </xdr:to>
    <xdr:pic>
      <xdr:nvPicPr>
        <xdr:cNvPr id="330" name="圖片 846410" descr="畫面剪輯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86476640"/>
          <a:ext cx="1428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198</xdr:row>
      <xdr:rowOff>104775</xdr:rowOff>
    </xdr:from>
    <xdr:to>
      <xdr:col>6</xdr:col>
      <xdr:colOff>1647825</xdr:colOff>
      <xdr:row>198</xdr:row>
      <xdr:rowOff>857250</xdr:rowOff>
    </xdr:to>
    <xdr:pic>
      <xdr:nvPicPr>
        <xdr:cNvPr id="331" name="圖片 846411" descr="畫面剪輯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188444505"/>
          <a:ext cx="1419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203</xdr:row>
      <xdr:rowOff>142875</xdr:rowOff>
    </xdr:from>
    <xdr:to>
      <xdr:col>6</xdr:col>
      <xdr:colOff>1571625</xdr:colOff>
      <xdr:row>203</xdr:row>
      <xdr:rowOff>923925</xdr:rowOff>
    </xdr:to>
    <xdr:pic>
      <xdr:nvPicPr>
        <xdr:cNvPr id="332" name="圖片 846412" descr="畫面剪輯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193568955"/>
          <a:ext cx="14478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204</xdr:row>
      <xdr:rowOff>152400</xdr:rowOff>
    </xdr:from>
    <xdr:to>
      <xdr:col>6</xdr:col>
      <xdr:colOff>1562100</xdr:colOff>
      <xdr:row>204</xdr:row>
      <xdr:rowOff>933450</xdr:rowOff>
    </xdr:to>
    <xdr:pic>
      <xdr:nvPicPr>
        <xdr:cNvPr id="333" name="圖片 846413" descr="畫面剪輯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77575" y="194595750"/>
          <a:ext cx="1457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208</xdr:row>
      <xdr:rowOff>76200</xdr:rowOff>
    </xdr:from>
    <xdr:to>
      <xdr:col>6</xdr:col>
      <xdr:colOff>1657350</xdr:colOff>
      <xdr:row>208</xdr:row>
      <xdr:rowOff>942975</xdr:rowOff>
    </xdr:to>
    <xdr:pic>
      <xdr:nvPicPr>
        <xdr:cNvPr id="334" name="圖片 846414" descr="畫面剪輯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198588630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421</xdr:row>
      <xdr:rowOff>76200</xdr:rowOff>
    </xdr:from>
    <xdr:to>
      <xdr:col>6</xdr:col>
      <xdr:colOff>1543050</xdr:colOff>
      <xdr:row>421</xdr:row>
      <xdr:rowOff>809625</xdr:rowOff>
    </xdr:to>
    <xdr:pic>
      <xdr:nvPicPr>
        <xdr:cNvPr id="335" name="圖片 846415" descr="畫面剪輯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321577335"/>
          <a:ext cx="1428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423</xdr:row>
      <xdr:rowOff>114300</xdr:rowOff>
    </xdr:from>
    <xdr:to>
      <xdr:col>6</xdr:col>
      <xdr:colOff>1714500</xdr:colOff>
      <xdr:row>423</xdr:row>
      <xdr:rowOff>904875</xdr:rowOff>
    </xdr:to>
    <xdr:pic>
      <xdr:nvPicPr>
        <xdr:cNvPr id="336" name="圖片 846416" descr="畫面剪輯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323649975"/>
          <a:ext cx="1428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424</xdr:row>
      <xdr:rowOff>123825</xdr:rowOff>
    </xdr:from>
    <xdr:to>
      <xdr:col>6</xdr:col>
      <xdr:colOff>1695450</xdr:colOff>
      <xdr:row>424</xdr:row>
      <xdr:rowOff>933450</xdr:rowOff>
    </xdr:to>
    <xdr:pic>
      <xdr:nvPicPr>
        <xdr:cNvPr id="337" name="圖片 846417" descr="畫面剪輯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324676770"/>
          <a:ext cx="1476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425</xdr:row>
      <xdr:rowOff>142875</xdr:rowOff>
    </xdr:from>
    <xdr:to>
      <xdr:col>6</xdr:col>
      <xdr:colOff>1609725</xdr:colOff>
      <xdr:row>425</xdr:row>
      <xdr:rowOff>904875</xdr:rowOff>
    </xdr:to>
    <xdr:pic>
      <xdr:nvPicPr>
        <xdr:cNvPr id="338" name="圖片 846418" descr="畫面剪輯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50" y="325713090"/>
          <a:ext cx="1438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426</xdr:row>
      <xdr:rowOff>142875</xdr:rowOff>
    </xdr:from>
    <xdr:to>
      <xdr:col>6</xdr:col>
      <xdr:colOff>1657350</xdr:colOff>
      <xdr:row>426</xdr:row>
      <xdr:rowOff>904875</xdr:rowOff>
    </xdr:to>
    <xdr:pic>
      <xdr:nvPicPr>
        <xdr:cNvPr id="339" name="圖片 846419" descr="畫面剪輯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82350" y="326730360"/>
          <a:ext cx="14001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429</xdr:row>
      <xdr:rowOff>47625</xdr:rowOff>
    </xdr:from>
    <xdr:to>
      <xdr:col>6</xdr:col>
      <xdr:colOff>1590675</xdr:colOff>
      <xdr:row>429</xdr:row>
      <xdr:rowOff>809625</xdr:rowOff>
    </xdr:to>
    <xdr:pic>
      <xdr:nvPicPr>
        <xdr:cNvPr id="340" name="圖片 846420" descr="畫面剪輯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950" y="335422875"/>
          <a:ext cx="1466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430</xdr:row>
      <xdr:rowOff>152400</xdr:rowOff>
    </xdr:from>
    <xdr:to>
      <xdr:col>6</xdr:col>
      <xdr:colOff>1638300</xdr:colOff>
      <xdr:row>430</xdr:row>
      <xdr:rowOff>923925</xdr:rowOff>
    </xdr:to>
    <xdr:pic>
      <xdr:nvPicPr>
        <xdr:cNvPr id="341" name="圖片 846421" descr="畫面剪輯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329784075"/>
          <a:ext cx="14192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431</xdr:row>
      <xdr:rowOff>180975</xdr:rowOff>
    </xdr:from>
    <xdr:to>
      <xdr:col>6</xdr:col>
      <xdr:colOff>1609725</xdr:colOff>
      <xdr:row>431</xdr:row>
      <xdr:rowOff>933450</xdr:rowOff>
    </xdr:to>
    <xdr:pic>
      <xdr:nvPicPr>
        <xdr:cNvPr id="342" name="圖片 223" descr="畫面剪輯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330822300"/>
          <a:ext cx="1495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442</xdr:row>
      <xdr:rowOff>142875</xdr:rowOff>
    </xdr:from>
    <xdr:to>
      <xdr:col>6</xdr:col>
      <xdr:colOff>1600200</xdr:colOff>
      <xdr:row>442</xdr:row>
      <xdr:rowOff>895350</xdr:rowOff>
    </xdr:to>
    <xdr:pic>
      <xdr:nvPicPr>
        <xdr:cNvPr id="343" name="圖片 224" descr="畫面剪輯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337468845"/>
          <a:ext cx="1466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448</xdr:row>
      <xdr:rowOff>57150</xdr:rowOff>
    </xdr:from>
    <xdr:to>
      <xdr:col>6</xdr:col>
      <xdr:colOff>1609725</xdr:colOff>
      <xdr:row>448</xdr:row>
      <xdr:rowOff>866775</xdr:rowOff>
    </xdr:to>
    <xdr:pic>
      <xdr:nvPicPr>
        <xdr:cNvPr id="344" name="圖片 225" descr="畫面剪輯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350984820"/>
          <a:ext cx="1466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451</xdr:row>
      <xdr:rowOff>76200</xdr:rowOff>
    </xdr:from>
    <xdr:to>
      <xdr:col>6</xdr:col>
      <xdr:colOff>1676400</xdr:colOff>
      <xdr:row>451</xdr:row>
      <xdr:rowOff>952500</xdr:rowOff>
    </xdr:to>
    <xdr:pic>
      <xdr:nvPicPr>
        <xdr:cNvPr id="345" name="圖片 226" descr="畫面剪輯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50" y="385008120"/>
          <a:ext cx="14382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35</xdr:row>
      <xdr:rowOff>66675</xdr:rowOff>
    </xdr:from>
    <xdr:to>
      <xdr:col>6</xdr:col>
      <xdr:colOff>1733550</xdr:colOff>
      <xdr:row>35</xdr:row>
      <xdr:rowOff>876300</xdr:rowOff>
    </xdr:to>
    <xdr:pic>
      <xdr:nvPicPr>
        <xdr:cNvPr id="346" name="圖片 1" descr="畫面剪輯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29815155"/>
          <a:ext cx="1466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47</xdr:row>
      <xdr:rowOff>104775</xdr:rowOff>
    </xdr:from>
    <xdr:to>
      <xdr:col>6</xdr:col>
      <xdr:colOff>1695450</xdr:colOff>
      <xdr:row>47</xdr:row>
      <xdr:rowOff>828675</xdr:rowOff>
    </xdr:to>
    <xdr:pic>
      <xdr:nvPicPr>
        <xdr:cNvPr id="347" name="圖片 2" descr="畫面剪輯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29975" y="41957625"/>
          <a:ext cx="1352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49</xdr:row>
      <xdr:rowOff>57150</xdr:rowOff>
    </xdr:from>
    <xdr:to>
      <xdr:col>6</xdr:col>
      <xdr:colOff>1895475</xdr:colOff>
      <xdr:row>49</xdr:row>
      <xdr:rowOff>952500</xdr:rowOff>
    </xdr:to>
    <xdr:pic>
      <xdr:nvPicPr>
        <xdr:cNvPr id="348" name="圖片 3" descr="畫面剪輯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43944540"/>
          <a:ext cx="1476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247650</xdr:colOff>
      <xdr:row>65</xdr:row>
      <xdr:rowOff>114300</xdr:rowOff>
    </xdr:from>
    <xdr:to>
      <xdr:col>6</xdr:col>
      <xdr:colOff>1771650</xdr:colOff>
      <xdr:row>65</xdr:row>
      <xdr:rowOff>885825</xdr:rowOff>
    </xdr:to>
    <xdr:pic>
      <xdr:nvPicPr>
        <xdr:cNvPr id="349" name="圖片 4" descr="畫面剪輯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20450" y="60278010"/>
          <a:ext cx="13620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85</xdr:row>
      <xdr:rowOff>104775</xdr:rowOff>
    </xdr:from>
    <xdr:to>
      <xdr:col>6</xdr:col>
      <xdr:colOff>1743075</xdr:colOff>
      <xdr:row>85</xdr:row>
      <xdr:rowOff>866775</xdr:rowOff>
    </xdr:to>
    <xdr:pic>
      <xdr:nvPicPr>
        <xdr:cNvPr id="350" name="圖片 5" descr="畫面剪輯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96625" y="79596615"/>
          <a:ext cx="1485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118</xdr:row>
      <xdr:rowOff>57150</xdr:rowOff>
    </xdr:from>
    <xdr:to>
      <xdr:col>6</xdr:col>
      <xdr:colOff>1714500</xdr:colOff>
      <xdr:row>118</xdr:row>
      <xdr:rowOff>866775</xdr:rowOff>
    </xdr:to>
    <xdr:pic>
      <xdr:nvPicPr>
        <xdr:cNvPr id="351" name="圖片 6" descr="畫面剪輯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109049820"/>
          <a:ext cx="1476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135</xdr:row>
      <xdr:rowOff>57150</xdr:rowOff>
    </xdr:from>
    <xdr:to>
      <xdr:col>6</xdr:col>
      <xdr:colOff>1800225</xdr:colOff>
      <xdr:row>135</xdr:row>
      <xdr:rowOff>885825</xdr:rowOff>
    </xdr:to>
    <xdr:pic>
      <xdr:nvPicPr>
        <xdr:cNvPr id="352" name="圖片 7" descr="畫面剪輯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128377950"/>
          <a:ext cx="1457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140</xdr:row>
      <xdr:rowOff>66675</xdr:rowOff>
    </xdr:from>
    <xdr:to>
      <xdr:col>6</xdr:col>
      <xdr:colOff>1914525</xdr:colOff>
      <xdr:row>140</xdr:row>
      <xdr:rowOff>962025</xdr:rowOff>
    </xdr:to>
    <xdr:pic>
      <xdr:nvPicPr>
        <xdr:cNvPr id="353" name="圖片 8" descr="畫面剪輯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132456555"/>
          <a:ext cx="14573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184</xdr:row>
      <xdr:rowOff>47625</xdr:rowOff>
    </xdr:from>
    <xdr:to>
      <xdr:col>6</xdr:col>
      <xdr:colOff>1819275</xdr:colOff>
      <xdr:row>184</xdr:row>
      <xdr:rowOff>923925</xdr:rowOff>
    </xdr:to>
    <xdr:pic>
      <xdr:nvPicPr>
        <xdr:cNvPr id="354" name="圖片 9" descr="畫面剪輯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75162845"/>
          <a:ext cx="14954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207</xdr:row>
      <xdr:rowOff>85725</xdr:rowOff>
    </xdr:from>
    <xdr:to>
      <xdr:col>6</xdr:col>
      <xdr:colOff>1790700</xdr:colOff>
      <xdr:row>207</xdr:row>
      <xdr:rowOff>857250</xdr:rowOff>
    </xdr:to>
    <xdr:pic>
      <xdr:nvPicPr>
        <xdr:cNvPr id="355" name="圖片 10" descr="畫面剪輯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29975" y="197580885"/>
          <a:ext cx="1352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446</xdr:row>
      <xdr:rowOff>47625</xdr:rowOff>
    </xdr:from>
    <xdr:to>
      <xdr:col>6</xdr:col>
      <xdr:colOff>1924050</xdr:colOff>
      <xdr:row>446</xdr:row>
      <xdr:rowOff>923925</xdr:rowOff>
    </xdr:to>
    <xdr:pic>
      <xdr:nvPicPr>
        <xdr:cNvPr id="356" name="圖片 11" descr="畫面剪輯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82350" y="340774020"/>
          <a:ext cx="1400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25</xdr:row>
      <xdr:rowOff>28575</xdr:rowOff>
    </xdr:from>
    <xdr:to>
      <xdr:col>6</xdr:col>
      <xdr:colOff>1762125</xdr:colOff>
      <xdr:row>25</xdr:row>
      <xdr:rowOff>866775</xdr:rowOff>
    </xdr:to>
    <xdr:pic>
      <xdr:nvPicPr>
        <xdr:cNvPr id="357" name="圖片 13" descr="畫面剪輯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50650" y="18792825"/>
          <a:ext cx="1609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190902</xdr:colOff>
      <xdr:row>56</xdr:row>
      <xdr:rowOff>184865</xdr:rowOff>
    </xdr:from>
    <xdr:to>
      <xdr:col>6</xdr:col>
      <xdr:colOff>1667277</xdr:colOff>
      <xdr:row>56</xdr:row>
      <xdr:rowOff>899240</xdr:rowOff>
    </xdr:to>
    <xdr:pic>
      <xdr:nvPicPr>
        <xdr:cNvPr id="358" name="圖片 14" descr="畫面剪輯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52210335"/>
          <a:ext cx="1419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59</xdr:row>
      <xdr:rowOff>142875</xdr:rowOff>
    </xdr:from>
    <xdr:to>
      <xdr:col>6</xdr:col>
      <xdr:colOff>1619250</xdr:colOff>
      <xdr:row>59</xdr:row>
      <xdr:rowOff>876300</xdr:rowOff>
    </xdr:to>
    <xdr:pic>
      <xdr:nvPicPr>
        <xdr:cNvPr id="359" name="圖片 15" descr="畫面剪輯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31600" y="55197375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66</xdr:row>
      <xdr:rowOff>76200</xdr:rowOff>
    </xdr:from>
    <xdr:to>
      <xdr:col>6</xdr:col>
      <xdr:colOff>1543050</xdr:colOff>
      <xdr:row>66</xdr:row>
      <xdr:rowOff>819150</xdr:rowOff>
    </xdr:to>
    <xdr:pic>
      <xdr:nvPicPr>
        <xdr:cNvPr id="360" name="圖片 16" descr="畫面剪輯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5675" y="61257180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231775</xdr:colOff>
      <xdr:row>88</xdr:row>
      <xdr:rowOff>190500</xdr:rowOff>
    </xdr:from>
    <xdr:to>
      <xdr:col>6</xdr:col>
      <xdr:colOff>1689100</xdr:colOff>
      <xdr:row>88</xdr:row>
      <xdr:rowOff>914400</xdr:rowOff>
    </xdr:to>
    <xdr:pic>
      <xdr:nvPicPr>
        <xdr:cNvPr id="361" name="圖片 17" descr="畫面剪輯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30025" y="82677000"/>
          <a:ext cx="1457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112</xdr:row>
      <xdr:rowOff>123825</xdr:rowOff>
    </xdr:from>
    <xdr:to>
      <xdr:col>6</xdr:col>
      <xdr:colOff>1638300</xdr:colOff>
      <xdr:row>112</xdr:row>
      <xdr:rowOff>904875</xdr:rowOff>
    </xdr:to>
    <xdr:pic>
      <xdr:nvPicPr>
        <xdr:cNvPr id="362" name="圖片 18" descr="畫面剪輯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103012875"/>
          <a:ext cx="1476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124</xdr:row>
      <xdr:rowOff>171450</xdr:rowOff>
    </xdr:from>
    <xdr:to>
      <xdr:col>6</xdr:col>
      <xdr:colOff>1581150</xdr:colOff>
      <xdr:row>124</xdr:row>
      <xdr:rowOff>904875</xdr:rowOff>
    </xdr:to>
    <xdr:pic>
      <xdr:nvPicPr>
        <xdr:cNvPr id="363" name="圖片 19" descr="畫面剪輯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115267740"/>
          <a:ext cx="1428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131</xdr:row>
      <xdr:rowOff>85725</xdr:rowOff>
    </xdr:from>
    <xdr:to>
      <xdr:col>6</xdr:col>
      <xdr:colOff>1828800</xdr:colOff>
      <xdr:row>131</xdr:row>
      <xdr:rowOff>819150</xdr:rowOff>
    </xdr:to>
    <xdr:pic>
      <xdr:nvPicPr>
        <xdr:cNvPr id="364" name="圖片 20" descr="畫面剪輯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4750" y="123320175"/>
          <a:ext cx="1247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166</xdr:row>
      <xdr:rowOff>85725</xdr:rowOff>
    </xdr:from>
    <xdr:to>
      <xdr:col>6</xdr:col>
      <xdr:colOff>1638300</xdr:colOff>
      <xdr:row>166</xdr:row>
      <xdr:rowOff>828675</xdr:rowOff>
    </xdr:to>
    <xdr:pic>
      <xdr:nvPicPr>
        <xdr:cNvPr id="365" name="圖片 21" descr="畫面剪輯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53838275"/>
          <a:ext cx="14287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418</xdr:row>
      <xdr:rowOff>114300</xdr:rowOff>
    </xdr:from>
    <xdr:to>
      <xdr:col>6</xdr:col>
      <xdr:colOff>1638300</xdr:colOff>
      <xdr:row>418</xdr:row>
      <xdr:rowOff>942975</xdr:rowOff>
    </xdr:to>
    <xdr:pic>
      <xdr:nvPicPr>
        <xdr:cNvPr id="366" name="圖片 23" descr="畫面剪輯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318563625"/>
          <a:ext cx="1457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432</xdr:row>
      <xdr:rowOff>76200</xdr:rowOff>
    </xdr:from>
    <xdr:to>
      <xdr:col>6</xdr:col>
      <xdr:colOff>1590675</xdr:colOff>
      <xdr:row>432</xdr:row>
      <xdr:rowOff>800100</xdr:rowOff>
    </xdr:to>
    <xdr:pic>
      <xdr:nvPicPr>
        <xdr:cNvPr id="367" name="圖片 24" descr="畫面剪輯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331734795"/>
          <a:ext cx="1409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78</xdr:row>
      <xdr:rowOff>76200</xdr:rowOff>
    </xdr:from>
    <xdr:to>
      <xdr:col>4</xdr:col>
      <xdr:colOff>942975</xdr:colOff>
      <xdr:row>78</xdr:row>
      <xdr:rowOff>904875</xdr:rowOff>
    </xdr:to>
    <xdr:pic>
      <xdr:nvPicPr>
        <xdr:cNvPr id="368" name="圖片 17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7244715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149225</xdr:colOff>
      <xdr:row>435</xdr:row>
      <xdr:rowOff>92075</xdr:rowOff>
    </xdr:from>
    <xdr:to>
      <xdr:col>4</xdr:col>
      <xdr:colOff>977900</xdr:colOff>
      <xdr:row>435</xdr:row>
      <xdr:rowOff>920750</xdr:rowOff>
    </xdr:to>
    <xdr:pic>
      <xdr:nvPicPr>
        <xdr:cNvPr id="369" name="圖片 17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2325" y="33515109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92</xdr:row>
      <xdr:rowOff>66675</xdr:rowOff>
    </xdr:from>
    <xdr:to>
      <xdr:col>4</xdr:col>
      <xdr:colOff>895350</xdr:colOff>
      <xdr:row>92</xdr:row>
      <xdr:rowOff>895350</xdr:rowOff>
    </xdr:to>
    <xdr:pic>
      <xdr:nvPicPr>
        <xdr:cNvPr id="370" name="圖片 17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29775" y="8566213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104</xdr:row>
      <xdr:rowOff>104775</xdr:rowOff>
    </xdr:from>
    <xdr:to>
      <xdr:col>4</xdr:col>
      <xdr:colOff>962025</xdr:colOff>
      <xdr:row>104</xdr:row>
      <xdr:rowOff>923925</xdr:rowOff>
    </xdr:to>
    <xdr:pic>
      <xdr:nvPicPr>
        <xdr:cNvPr id="371" name="圖片 13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05975" y="9587293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107</xdr:row>
      <xdr:rowOff>104775</xdr:rowOff>
    </xdr:from>
    <xdr:to>
      <xdr:col>4</xdr:col>
      <xdr:colOff>962025</xdr:colOff>
      <xdr:row>107</xdr:row>
      <xdr:rowOff>923925</xdr:rowOff>
    </xdr:to>
    <xdr:pic>
      <xdr:nvPicPr>
        <xdr:cNvPr id="372" name="圖片 13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05975" y="9892474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321</xdr:row>
      <xdr:rowOff>123825</xdr:rowOff>
    </xdr:from>
    <xdr:to>
      <xdr:col>4</xdr:col>
      <xdr:colOff>1009650</xdr:colOff>
      <xdr:row>321</xdr:row>
      <xdr:rowOff>952500</xdr:rowOff>
    </xdr:to>
    <xdr:pic>
      <xdr:nvPicPr>
        <xdr:cNvPr id="374" name="圖片 15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26974419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202</xdr:row>
      <xdr:rowOff>123825</xdr:rowOff>
    </xdr:from>
    <xdr:to>
      <xdr:col>4</xdr:col>
      <xdr:colOff>1009650</xdr:colOff>
      <xdr:row>202</xdr:row>
      <xdr:rowOff>952500</xdr:rowOff>
    </xdr:to>
    <xdr:pic>
      <xdr:nvPicPr>
        <xdr:cNvPr id="375" name="圖片 15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19253263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43</xdr:row>
      <xdr:rowOff>114300</xdr:rowOff>
    </xdr:from>
    <xdr:to>
      <xdr:col>4</xdr:col>
      <xdr:colOff>1009650</xdr:colOff>
      <xdr:row>43</xdr:row>
      <xdr:rowOff>942975</xdr:rowOff>
    </xdr:to>
    <xdr:pic>
      <xdr:nvPicPr>
        <xdr:cNvPr id="376" name="圖片 15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3789807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60</xdr:row>
      <xdr:rowOff>104775</xdr:rowOff>
    </xdr:from>
    <xdr:to>
      <xdr:col>4</xdr:col>
      <xdr:colOff>990600</xdr:colOff>
      <xdr:row>60</xdr:row>
      <xdr:rowOff>933450</xdr:rowOff>
    </xdr:to>
    <xdr:pic>
      <xdr:nvPicPr>
        <xdr:cNvPr id="377" name="圖片 16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56199405"/>
          <a:ext cx="819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173</xdr:row>
      <xdr:rowOff>104775</xdr:rowOff>
    </xdr:from>
    <xdr:to>
      <xdr:col>4</xdr:col>
      <xdr:colOff>990600</xdr:colOff>
      <xdr:row>173</xdr:row>
      <xdr:rowOff>933450</xdr:rowOff>
    </xdr:to>
    <xdr:pic>
      <xdr:nvPicPr>
        <xdr:cNvPr id="378" name="圖片 16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61995485"/>
          <a:ext cx="819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130</xdr:row>
      <xdr:rowOff>104775</xdr:rowOff>
    </xdr:from>
    <xdr:to>
      <xdr:col>4</xdr:col>
      <xdr:colOff>990600</xdr:colOff>
      <xdr:row>130</xdr:row>
      <xdr:rowOff>933450</xdr:rowOff>
    </xdr:to>
    <xdr:pic>
      <xdr:nvPicPr>
        <xdr:cNvPr id="379" name="圖片 16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21304685"/>
          <a:ext cx="819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11</xdr:row>
      <xdr:rowOff>123825</xdr:rowOff>
    </xdr:from>
    <xdr:to>
      <xdr:col>4</xdr:col>
      <xdr:colOff>962025</xdr:colOff>
      <xdr:row>11</xdr:row>
      <xdr:rowOff>914400</xdr:rowOff>
    </xdr:to>
    <xdr:pic>
      <xdr:nvPicPr>
        <xdr:cNvPr id="380" name="圖片 18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6450" y="6989445"/>
          <a:ext cx="828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183</xdr:row>
      <xdr:rowOff>123825</xdr:rowOff>
    </xdr:from>
    <xdr:to>
      <xdr:col>4</xdr:col>
      <xdr:colOff>962025</xdr:colOff>
      <xdr:row>183</xdr:row>
      <xdr:rowOff>952500</xdr:rowOff>
    </xdr:to>
    <xdr:pic>
      <xdr:nvPicPr>
        <xdr:cNvPr id="381" name="圖片 18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6450" y="17422177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46</xdr:row>
      <xdr:rowOff>123825</xdr:rowOff>
    </xdr:from>
    <xdr:to>
      <xdr:col>4</xdr:col>
      <xdr:colOff>962025</xdr:colOff>
      <xdr:row>46</xdr:row>
      <xdr:rowOff>952500</xdr:rowOff>
    </xdr:to>
    <xdr:pic>
      <xdr:nvPicPr>
        <xdr:cNvPr id="382" name="圖片 18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6450" y="4095940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74</xdr:row>
      <xdr:rowOff>142875</xdr:rowOff>
    </xdr:from>
    <xdr:to>
      <xdr:col>4</xdr:col>
      <xdr:colOff>1000125</xdr:colOff>
      <xdr:row>74</xdr:row>
      <xdr:rowOff>962025</xdr:rowOff>
    </xdr:to>
    <xdr:pic>
      <xdr:nvPicPr>
        <xdr:cNvPr id="383" name="圖片 19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6844474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</xdr:row>
      <xdr:rowOff>142875</xdr:rowOff>
    </xdr:from>
    <xdr:to>
      <xdr:col>4</xdr:col>
      <xdr:colOff>1000125</xdr:colOff>
      <xdr:row>3</xdr:row>
      <xdr:rowOff>962025</xdr:rowOff>
    </xdr:to>
    <xdr:pic>
      <xdr:nvPicPr>
        <xdr:cNvPr id="384" name="圖片 19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293941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200</xdr:row>
      <xdr:rowOff>142875</xdr:rowOff>
    </xdr:from>
    <xdr:to>
      <xdr:col>4</xdr:col>
      <xdr:colOff>1000125</xdr:colOff>
      <xdr:row>200</xdr:row>
      <xdr:rowOff>962025</xdr:rowOff>
    </xdr:to>
    <xdr:pic>
      <xdr:nvPicPr>
        <xdr:cNvPr id="385" name="圖片 19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44075" y="19051714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194</xdr:row>
      <xdr:rowOff>133350</xdr:rowOff>
    </xdr:from>
    <xdr:to>
      <xdr:col>4</xdr:col>
      <xdr:colOff>1028700</xdr:colOff>
      <xdr:row>194</xdr:row>
      <xdr:rowOff>952500</xdr:rowOff>
    </xdr:to>
    <xdr:pic>
      <xdr:nvPicPr>
        <xdr:cNvPr id="386" name="圖片 14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63125" y="184404000"/>
          <a:ext cx="828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148</xdr:row>
      <xdr:rowOff>133350</xdr:rowOff>
    </xdr:from>
    <xdr:to>
      <xdr:col>4</xdr:col>
      <xdr:colOff>1028700</xdr:colOff>
      <xdr:row>148</xdr:row>
      <xdr:rowOff>952500</xdr:rowOff>
    </xdr:to>
    <xdr:pic>
      <xdr:nvPicPr>
        <xdr:cNvPr id="387" name="圖片 14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63125" y="139644120"/>
          <a:ext cx="828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265715</xdr:colOff>
      <xdr:row>97</xdr:row>
      <xdr:rowOff>133350</xdr:rowOff>
    </xdr:from>
    <xdr:to>
      <xdr:col>4</xdr:col>
      <xdr:colOff>1094390</xdr:colOff>
      <xdr:row>97</xdr:row>
      <xdr:rowOff>952500</xdr:rowOff>
    </xdr:to>
    <xdr:pic>
      <xdr:nvPicPr>
        <xdr:cNvPr id="388" name="圖片 14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8530" y="88780620"/>
          <a:ext cx="828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64</xdr:row>
      <xdr:rowOff>133350</xdr:rowOff>
    </xdr:from>
    <xdr:to>
      <xdr:col>4</xdr:col>
      <xdr:colOff>952500</xdr:colOff>
      <xdr:row>64</xdr:row>
      <xdr:rowOff>923925</xdr:rowOff>
    </xdr:to>
    <xdr:pic>
      <xdr:nvPicPr>
        <xdr:cNvPr id="389" name="圖片 20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59279790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76</xdr:row>
      <xdr:rowOff>133350</xdr:rowOff>
    </xdr:from>
    <xdr:to>
      <xdr:col>4</xdr:col>
      <xdr:colOff>952500</xdr:colOff>
      <xdr:row>76</xdr:row>
      <xdr:rowOff>923925</xdr:rowOff>
    </xdr:to>
    <xdr:pic>
      <xdr:nvPicPr>
        <xdr:cNvPr id="390" name="圖片 20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70469760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171</xdr:row>
      <xdr:rowOff>133350</xdr:rowOff>
    </xdr:from>
    <xdr:to>
      <xdr:col>4</xdr:col>
      <xdr:colOff>952500</xdr:colOff>
      <xdr:row>171</xdr:row>
      <xdr:rowOff>923925</xdr:rowOff>
    </xdr:to>
    <xdr:pic>
      <xdr:nvPicPr>
        <xdr:cNvPr id="391" name="圖片 20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159989520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172</xdr:row>
      <xdr:rowOff>85725</xdr:rowOff>
    </xdr:from>
    <xdr:to>
      <xdr:col>4</xdr:col>
      <xdr:colOff>971550</xdr:colOff>
      <xdr:row>172</xdr:row>
      <xdr:rowOff>876300</xdr:rowOff>
    </xdr:to>
    <xdr:pic>
      <xdr:nvPicPr>
        <xdr:cNvPr id="392" name="圖片 21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60959165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84</xdr:row>
      <xdr:rowOff>85725</xdr:rowOff>
    </xdr:from>
    <xdr:to>
      <xdr:col>4</xdr:col>
      <xdr:colOff>971550</xdr:colOff>
      <xdr:row>84</xdr:row>
      <xdr:rowOff>876300</xdr:rowOff>
    </xdr:to>
    <xdr:pic>
      <xdr:nvPicPr>
        <xdr:cNvPr id="393" name="圖片 21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78560295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</xdr:row>
      <xdr:rowOff>85725</xdr:rowOff>
    </xdr:from>
    <xdr:to>
      <xdr:col>4</xdr:col>
      <xdr:colOff>971550</xdr:colOff>
      <xdr:row>24</xdr:row>
      <xdr:rowOff>876300</xdr:rowOff>
    </xdr:to>
    <xdr:pic>
      <xdr:nvPicPr>
        <xdr:cNvPr id="394" name="圖片 21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0" y="17832705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58</xdr:row>
      <xdr:rowOff>76200</xdr:rowOff>
    </xdr:from>
    <xdr:to>
      <xdr:col>4</xdr:col>
      <xdr:colOff>942975</xdr:colOff>
      <xdr:row>58</xdr:row>
      <xdr:rowOff>866775</xdr:rowOff>
    </xdr:to>
    <xdr:pic>
      <xdr:nvPicPr>
        <xdr:cNvPr id="395" name="圖片 22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5413629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77</xdr:row>
      <xdr:rowOff>76200</xdr:rowOff>
    </xdr:from>
    <xdr:to>
      <xdr:col>4</xdr:col>
      <xdr:colOff>942975</xdr:colOff>
      <xdr:row>77</xdr:row>
      <xdr:rowOff>866775</xdr:rowOff>
    </xdr:to>
    <xdr:pic>
      <xdr:nvPicPr>
        <xdr:cNvPr id="396" name="圖片 22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7142988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191</xdr:row>
      <xdr:rowOff>76200</xdr:rowOff>
    </xdr:from>
    <xdr:to>
      <xdr:col>4</xdr:col>
      <xdr:colOff>942975</xdr:colOff>
      <xdr:row>191</xdr:row>
      <xdr:rowOff>866775</xdr:rowOff>
    </xdr:to>
    <xdr:pic>
      <xdr:nvPicPr>
        <xdr:cNvPr id="397" name="圖片 22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18129504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416</xdr:row>
      <xdr:rowOff>123825</xdr:rowOff>
    </xdr:from>
    <xdr:to>
      <xdr:col>4</xdr:col>
      <xdr:colOff>981075</xdr:colOff>
      <xdr:row>416</xdr:row>
      <xdr:rowOff>914400</xdr:rowOff>
    </xdr:to>
    <xdr:pic>
      <xdr:nvPicPr>
        <xdr:cNvPr id="398" name="圖片 23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31653861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127</xdr:row>
      <xdr:rowOff>123825</xdr:rowOff>
    </xdr:from>
    <xdr:to>
      <xdr:col>4</xdr:col>
      <xdr:colOff>981075</xdr:colOff>
      <xdr:row>127</xdr:row>
      <xdr:rowOff>914400</xdr:rowOff>
    </xdr:to>
    <xdr:pic>
      <xdr:nvPicPr>
        <xdr:cNvPr id="399" name="圖片 23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11827192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122</xdr:row>
      <xdr:rowOff>123825</xdr:rowOff>
    </xdr:from>
    <xdr:to>
      <xdr:col>4</xdr:col>
      <xdr:colOff>981075</xdr:colOff>
      <xdr:row>122</xdr:row>
      <xdr:rowOff>914400</xdr:rowOff>
    </xdr:to>
    <xdr:pic>
      <xdr:nvPicPr>
        <xdr:cNvPr id="400" name="圖片 23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1131855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116</xdr:row>
      <xdr:rowOff>76200</xdr:rowOff>
    </xdr:from>
    <xdr:to>
      <xdr:col>4</xdr:col>
      <xdr:colOff>895350</xdr:colOff>
      <xdr:row>116</xdr:row>
      <xdr:rowOff>866775</xdr:rowOff>
    </xdr:to>
    <xdr:pic>
      <xdr:nvPicPr>
        <xdr:cNvPr id="401" name="圖片 24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67875" y="10703433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188</xdr:row>
      <xdr:rowOff>76200</xdr:rowOff>
    </xdr:from>
    <xdr:to>
      <xdr:col>4</xdr:col>
      <xdr:colOff>895350</xdr:colOff>
      <xdr:row>188</xdr:row>
      <xdr:rowOff>866775</xdr:rowOff>
    </xdr:to>
    <xdr:pic>
      <xdr:nvPicPr>
        <xdr:cNvPr id="402" name="圖片 24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67875" y="1792605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199</xdr:row>
      <xdr:rowOff>104775</xdr:rowOff>
    </xdr:from>
    <xdr:to>
      <xdr:col>4</xdr:col>
      <xdr:colOff>1028700</xdr:colOff>
      <xdr:row>199</xdr:row>
      <xdr:rowOff>895350</xdr:rowOff>
    </xdr:to>
    <xdr:pic>
      <xdr:nvPicPr>
        <xdr:cNvPr id="403" name="圖片 24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1894617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273248</xdr:colOff>
      <xdr:row>3</xdr:row>
      <xdr:rowOff>239315</xdr:rowOff>
    </xdr:from>
    <xdr:to>
      <xdr:col>6</xdr:col>
      <xdr:colOff>1616273</xdr:colOff>
      <xdr:row>3</xdr:row>
      <xdr:rowOff>887015</xdr:rowOff>
    </xdr:to>
    <xdr:pic>
      <xdr:nvPicPr>
        <xdr:cNvPr id="404" name="圖片 1" descr="畫面剪輯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28834" y="2010370"/>
          <a:ext cx="1343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227262</xdr:colOff>
      <xdr:row>11</xdr:row>
      <xdr:rowOff>144661</xdr:rowOff>
    </xdr:from>
    <xdr:to>
      <xdr:col>6</xdr:col>
      <xdr:colOff>1513137</xdr:colOff>
      <xdr:row>11</xdr:row>
      <xdr:rowOff>773311</xdr:rowOff>
    </xdr:to>
    <xdr:pic>
      <xdr:nvPicPr>
        <xdr:cNvPr id="405" name="圖片 2" descr="畫面剪輯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82848" y="2927747"/>
          <a:ext cx="1285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342900</xdr:colOff>
      <xdr:row>19</xdr:row>
      <xdr:rowOff>266700</xdr:rowOff>
    </xdr:from>
    <xdr:to>
      <xdr:col>6</xdr:col>
      <xdr:colOff>1628775</xdr:colOff>
      <xdr:row>19</xdr:row>
      <xdr:rowOff>923925</xdr:rowOff>
    </xdr:to>
    <xdr:pic>
      <xdr:nvPicPr>
        <xdr:cNvPr id="406" name="圖片 3" descr="畫面剪輯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15700" y="13133070"/>
          <a:ext cx="1266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24</xdr:row>
      <xdr:rowOff>180975</xdr:rowOff>
    </xdr:from>
    <xdr:to>
      <xdr:col>6</xdr:col>
      <xdr:colOff>1571625</xdr:colOff>
      <xdr:row>24</xdr:row>
      <xdr:rowOff>781050</xdr:rowOff>
    </xdr:to>
    <xdr:pic>
      <xdr:nvPicPr>
        <xdr:cNvPr id="407" name="圖片 4" descr="畫面剪輯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0" y="17927955"/>
          <a:ext cx="1304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295275</xdr:colOff>
      <xdr:row>42</xdr:row>
      <xdr:rowOff>114300</xdr:rowOff>
    </xdr:from>
    <xdr:to>
      <xdr:col>6</xdr:col>
      <xdr:colOff>1571625</xdr:colOff>
      <xdr:row>42</xdr:row>
      <xdr:rowOff>762000</xdr:rowOff>
    </xdr:to>
    <xdr:pic>
      <xdr:nvPicPr>
        <xdr:cNvPr id="408" name="圖片 5" descr="畫面剪輯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0861" y="3909417"/>
          <a:ext cx="1276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43</xdr:row>
      <xdr:rowOff>152400</xdr:rowOff>
    </xdr:from>
    <xdr:to>
      <xdr:col>6</xdr:col>
      <xdr:colOff>1381125</xdr:colOff>
      <xdr:row>43</xdr:row>
      <xdr:rowOff>790575</xdr:rowOff>
    </xdr:to>
    <xdr:pic>
      <xdr:nvPicPr>
        <xdr:cNvPr id="409" name="圖片 6" descr="畫面剪輯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37936170"/>
          <a:ext cx="1295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205383</xdr:colOff>
      <xdr:row>46</xdr:row>
      <xdr:rowOff>45244</xdr:rowOff>
    </xdr:from>
    <xdr:to>
      <xdr:col>6</xdr:col>
      <xdr:colOff>1500783</xdr:colOff>
      <xdr:row>46</xdr:row>
      <xdr:rowOff>711994</xdr:rowOff>
    </xdr:to>
    <xdr:pic>
      <xdr:nvPicPr>
        <xdr:cNvPr id="410" name="圖片 7" descr="畫面剪輯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60969" y="4852392"/>
          <a:ext cx="1295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58</xdr:row>
      <xdr:rowOff>152400</xdr:rowOff>
    </xdr:from>
    <xdr:to>
      <xdr:col>6</xdr:col>
      <xdr:colOff>1438275</xdr:colOff>
      <xdr:row>58</xdr:row>
      <xdr:rowOff>790575</xdr:rowOff>
    </xdr:to>
    <xdr:pic>
      <xdr:nvPicPr>
        <xdr:cNvPr id="411" name="圖片 8" descr="畫面剪輯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54212490"/>
          <a:ext cx="12477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288925</xdr:colOff>
      <xdr:row>60</xdr:row>
      <xdr:rowOff>206375</xdr:rowOff>
    </xdr:from>
    <xdr:to>
      <xdr:col>6</xdr:col>
      <xdr:colOff>1527175</xdr:colOff>
      <xdr:row>60</xdr:row>
      <xdr:rowOff>844550</xdr:rowOff>
    </xdr:to>
    <xdr:pic>
      <xdr:nvPicPr>
        <xdr:cNvPr id="412" name="圖片 9" descr="畫面剪輯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87175" y="56276875"/>
          <a:ext cx="12382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70</xdr:row>
      <xdr:rowOff>200025</xdr:rowOff>
    </xdr:from>
    <xdr:to>
      <xdr:col>6</xdr:col>
      <xdr:colOff>1562100</xdr:colOff>
      <xdr:row>70</xdr:row>
      <xdr:rowOff>885825</xdr:rowOff>
    </xdr:to>
    <xdr:pic>
      <xdr:nvPicPr>
        <xdr:cNvPr id="413" name="圖片 11" descr="畫面剪輯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55425" y="65414525"/>
          <a:ext cx="1304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74</xdr:row>
      <xdr:rowOff>171450</xdr:rowOff>
    </xdr:from>
    <xdr:to>
      <xdr:col>6</xdr:col>
      <xdr:colOff>1476375</xdr:colOff>
      <xdr:row>74</xdr:row>
      <xdr:rowOff>866775</xdr:rowOff>
    </xdr:to>
    <xdr:pic>
      <xdr:nvPicPr>
        <xdr:cNvPr id="414" name="圖片 12" descr="畫面剪輯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07986" y="7002661"/>
          <a:ext cx="13239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76</xdr:row>
      <xdr:rowOff>76200</xdr:rowOff>
    </xdr:from>
    <xdr:to>
      <xdr:col>6</xdr:col>
      <xdr:colOff>1400175</xdr:colOff>
      <xdr:row>76</xdr:row>
      <xdr:rowOff>752475</xdr:rowOff>
    </xdr:to>
    <xdr:pic>
      <xdr:nvPicPr>
        <xdr:cNvPr id="415" name="圖片 13" descr="畫面剪輯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70412610"/>
          <a:ext cx="1285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77</xdr:row>
      <xdr:rowOff>104775</xdr:rowOff>
    </xdr:from>
    <xdr:to>
      <xdr:col>6</xdr:col>
      <xdr:colOff>1533525</xdr:colOff>
      <xdr:row>77</xdr:row>
      <xdr:rowOff>762000</xdr:rowOff>
    </xdr:to>
    <xdr:pic>
      <xdr:nvPicPr>
        <xdr:cNvPr id="416" name="圖片 14" descr="畫面剪輯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71458455"/>
          <a:ext cx="13049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78</xdr:row>
      <xdr:rowOff>133350</xdr:rowOff>
    </xdr:from>
    <xdr:to>
      <xdr:col>6</xdr:col>
      <xdr:colOff>1476375</xdr:colOff>
      <xdr:row>78</xdr:row>
      <xdr:rowOff>790575</xdr:rowOff>
    </xdr:to>
    <xdr:pic>
      <xdr:nvPicPr>
        <xdr:cNvPr id="417" name="圖片 15" descr="畫面剪輯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72504300"/>
          <a:ext cx="1323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342900</xdr:colOff>
      <xdr:row>64</xdr:row>
      <xdr:rowOff>152400</xdr:rowOff>
    </xdr:from>
    <xdr:to>
      <xdr:col>6</xdr:col>
      <xdr:colOff>1628775</xdr:colOff>
      <xdr:row>64</xdr:row>
      <xdr:rowOff>876300</xdr:rowOff>
    </xdr:to>
    <xdr:pic>
      <xdr:nvPicPr>
        <xdr:cNvPr id="418" name="圖片 16" descr="畫面剪輯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15700" y="59298840"/>
          <a:ext cx="1266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83</xdr:row>
      <xdr:rowOff>200025</xdr:rowOff>
    </xdr:from>
    <xdr:to>
      <xdr:col>6</xdr:col>
      <xdr:colOff>1600200</xdr:colOff>
      <xdr:row>83</xdr:row>
      <xdr:rowOff>876300</xdr:rowOff>
    </xdr:to>
    <xdr:pic>
      <xdr:nvPicPr>
        <xdr:cNvPr id="419" name="圖片 17" descr="畫面剪輯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77600" y="77657325"/>
          <a:ext cx="1295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84</xdr:row>
      <xdr:rowOff>104775</xdr:rowOff>
    </xdr:from>
    <xdr:to>
      <xdr:col>6</xdr:col>
      <xdr:colOff>1495425</xdr:colOff>
      <xdr:row>84</xdr:row>
      <xdr:rowOff>819150</xdr:rowOff>
    </xdr:to>
    <xdr:pic>
      <xdr:nvPicPr>
        <xdr:cNvPr id="420" name="圖片 18" descr="畫面剪輯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78579345"/>
          <a:ext cx="1295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92</xdr:row>
      <xdr:rowOff>228600</xdr:rowOff>
    </xdr:from>
    <xdr:to>
      <xdr:col>6</xdr:col>
      <xdr:colOff>1638300</xdr:colOff>
      <xdr:row>92</xdr:row>
      <xdr:rowOff>885825</xdr:rowOff>
    </xdr:to>
    <xdr:pic>
      <xdr:nvPicPr>
        <xdr:cNvPr id="421" name="圖片 19" descr="畫面剪輯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4750" y="85824060"/>
          <a:ext cx="1247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97</xdr:row>
      <xdr:rowOff>209550</xdr:rowOff>
    </xdr:from>
    <xdr:to>
      <xdr:col>6</xdr:col>
      <xdr:colOff>1600200</xdr:colOff>
      <xdr:row>97</xdr:row>
      <xdr:rowOff>885825</xdr:rowOff>
    </xdr:to>
    <xdr:pic>
      <xdr:nvPicPr>
        <xdr:cNvPr id="422" name="圖片 20" descr="畫面剪輯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77600" y="88856820"/>
          <a:ext cx="1295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333375</xdr:colOff>
      <xdr:row>99</xdr:row>
      <xdr:rowOff>171450</xdr:rowOff>
    </xdr:from>
    <xdr:to>
      <xdr:col>6</xdr:col>
      <xdr:colOff>1600200</xdr:colOff>
      <xdr:row>99</xdr:row>
      <xdr:rowOff>847725</xdr:rowOff>
    </xdr:to>
    <xdr:pic>
      <xdr:nvPicPr>
        <xdr:cNvPr id="423" name="圖片 21" descr="畫面剪輯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06175" y="90853260"/>
          <a:ext cx="1266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457200</xdr:colOff>
      <xdr:row>104</xdr:row>
      <xdr:rowOff>200025</xdr:rowOff>
    </xdr:from>
    <xdr:to>
      <xdr:col>6</xdr:col>
      <xdr:colOff>1724025</xdr:colOff>
      <xdr:row>104</xdr:row>
      <xdr:rowOff>819150</xdr:rowOff>
    </xdr:to>
    <xdr:pic>
      <xdr:nvPicPr>
        <xdr:cNvPr id="424" name="圖片 22" descr="畫面剪輯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00" y="95968185"/>
          <a:ext cx="1152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105</xdr:row>
      <xdr:rowOff>180975</xdr:rowOff>
    </xdr:from>
    <xdr:to>
      <xdr:col>6</xdr:col>
      <xdr:colOff>1485900</xdr:colOff>
      <xdr:row>105</xdr:row>
      <xdr:rowOff>847725</xdr:rowOff>
    </xdr:to>
    <xdr:pic>
      <xdr:nvPicPr>
        <xdr:cNvPr id="425" name="圖片 23" descr="畫面剪輯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96966405"/>
          <a:ext cx="1285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107</xdr:row>
      <xdr:rowOff>114300</xdr:rowOff>
    </xdr:from>
    <xdr:to>
      <xdr:col>6</xdr:col>
      <xdr:colOff>1485900</xdr:colOff>
      <xdr:row>107</xdr:row>
      <xdr:rowOff>847725</xdr:rowOff>
    </xdr:to>
    <xdr:pic>
      <xdr:nvPicPr>
        <xdr:cNvPr id="426" name="圖片 24" descr="畫面剪輯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98934270"/>
          <a:ext cx="1333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116</xdr:row>
      <xdr:rowOff>104775</xdr:rowOff>
    </xdr:from>
    <xdr:to>
      <xdr:col>6</xdr:col>
      <xdr:colOff>1466850</xdr:colOff>
      <xdr:row>116</xdr:row>
      <xdr:rowOff>819150</xdr:rowOff>
    </xdr:to>
    <xdr:pic>
      <xdr:nvPicPr>
        <xdr:cNvPr id="428" name="圖片 26" descr="畫面剪輯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44250" y="107062905"/>
          <a:ext cx="1295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122</xdr:row>
      <xdr:rowOff>133350</xdr:rowOff>
    </xdr:from>
    <xdr:to>
      <xdr:col>6</xdr:col>
      <xdr:colOff>1390650</xdr:colOff>
      <xdr:row>122</xdr:row>
      <xdr:rowOff>819150</xdr:rowOff>
    </xdr:to>
    <xdr:pic>
      <xdr:nvPicPr>
        <xdr:cNvPr id="429" name="圖片 27" descr="畫面剪輯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58525" y="113195100"/>
          <a:ext cx="1304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127</xdr:row>
      <xdr:rowOff>66675</xdr:rowOff>
    </xdr:from>
    <xdr:to>
      <xdr:col>6</xdr:col>
      <xdr:colOff>1438275</xdr:colOff>
      <xdr:row>127</xdr:row>
      <xdr:rowOff>790575</xdr:rowOff>
    </xdr:to>
    <xdr:pic>
      <xdr:nvPicPr>
        <xdr:cNvPr id="430" name="圖片 28" descr="畫面剪輯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87100" y="118214775"/>
          <a:ext cx="1323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130</xdr:row>
      <xdr:rowOff>133350</xdr:rowOff>
    </xdr:from>
    <xdr:to>
      <xdr:col>6</xdr:col>
      <xdr:colOff>1447800</xdr:colOff>
      <xdr:row>130</xdr:row>
      <xdr:rowOff>819150</xdr:rowOff>
    </xdr:to>
    <xdr:pic>
      <xdr:nvPicPr>
        <xdr:cNvPr id="431" name="圖片 29" descr="畫面剪輯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06150" y="121333260"/>
          <a:ext cx="13144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132</xdr:row>
      <xdr:rowOff>114300</xdr:rowOff>
    </xdr:from>
    <xdr:to>
      <xdr:col>6</xdr:col>
      <xdr:colOff>1438275</xdr:colOff>
      <xdr:row>132</xdr:row>
      <xdr:rowOff>781050</xdr:rowOff>
    </xdr:to>
    <xdr:pic>
      <xdr:nvPicPr>
        <xdr:cNvPr id="432" name="圖片 30" descr="畫面剪輯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12436602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141</xdr:row>
      <xdr:rowOff>85725</xdr:rowOff>
    </xdr:from>
    <xdr:to>
      <xdr:col>6</xdr:col>
      <xdr:colOff>1504950</xdr:colOff>
      <xdr:row>141</xdr:row>
      <xdr:rowOff>752475</xdr:rowOff>
    </xdr:to>
    <xdr:pic>
      <xdr:nvPicPr>
        <xdr:cNvPr id="433" name="圖片 1034756" descr="畫面剪輯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133492875"/>
          <a:ext cx="1304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148</xdr:row>
      <xdr:rowOff>104775</xdr:rowOff>
    </xdr:from>
    <xdr:to>
      <xdr:col>6</xdr:col>
      <xdr:colOff>1504950</xdr:colOff>
      <xdr:row>148</xdr:row>
      <xdr:rowOff>790575</xdr:rowOff>
    </xdr:to>
    <xdr:pic>
      <xdr:nvPicPr>
        <xdr:cNvPr id="434" name="圖片 1034757" descr="畫面剪輯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39615545"/>
          <a:ext cx="1323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171</xdr:row>
      <xdr:rowOff>190500</xdr:rowOff>
    </xdr:from>
    <xdr:to>
      <xdr:col>6</xdr:col>
      <xdr:colOff>1533525</xdr:colOff>
      <xdr:row>171</xdr:row>
      <xdr:rowOff>885825</xdr:rowOff>
    </xdr:to>
    <xdr:pic>
      <xdr:nvPicPr>
        <xdr:cNvPr id="435" name="圖片 1034758" descr="畫面剪輯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10925" y="160046670"/>
          <a:ext cx="1295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172</xdr:row>
      <xdr:rowOff>238125</xdr:rowOff>
    </xdr:from>
    <xdr:to>
      <xdr:col>6</xdr:col>
      <xdr:colOff>1485900</xdr:colOff>
      <xdr:row>172</xdr:row>
      <xdr:rowOff>971550</xdr:rowOff>
    </xdr:to>
    <xdr:pic>
      <xdr:nvPicPr>
        <xdr:cNvPr id="436" name="圖片 1034759" descr="畫面剪輯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53775" y="161111565"/>
          <a:ext cx="1304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173</xdr:row>
      <xdr:rowOff>247650</xdr:rowOff>
    </xdr:from>
    <xdr:to>
      <xdr:col>6</xdr:col>
      <xdr:colOff>1571625</xdr:colOff>
      <xdr:row>173</xdr:row>
      <xdr:rowOff>923925</xdr:rowOff>
    </xdr:to>
    <xdr:pic>
      <xdr:nvPicPr>
        <xdr:cNvPr id="437" name="圖片 1034761" descr="畫面剪輯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162138360"/>
          <a:ext cx="1343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174</xdr:row>
      <xdr:rowOff>133350</xdr:rowOff>
    </xdr:from>
    <xdr:to>
      <xdr:col>6</xdr:col>
      <xdr:colOff>1562100</xdr:colOff>
      <xdr:row>174</xdr:row>
      <xdr:rowOff>828675</xdr:rowOff>
    </xdr:to>
    <xdr:pic>
      <xdr:nvPicPr>
        <xdr:cNvPr id="438" name="圖片 1034762" descr="畫面剪輯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163041330"/>
          <a:ext cx="1333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238125</xdr:colOff>
      <xdr:row>183</xdr:row>
      <xdr:rowOff>152400</xdr:rowOff>
    </xdr:from>
    <xdr:to>
      <xdr:col>6</xdr:col>
      <xdr:colOff>1533525</xdr:colOff>
      <xdr:row>183</xdr:row>
      <xdr:rowOff>847725</xdr:rowOff>
    </xdr:to>
    <xdr:pic>
      <xdr:nvPicPr>
        <xdr:cNvPr id="439" name="圖片 1034763" descr="畫面剪輯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10925" y="174250350"/>
          <a:ext cx="1295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295275</xdr:colOff>
      <xdr:row>188</xdr:row>
      <xdr:rowOff>66675</xdr:rowOff>
    </xdr:from>
    <xdr:to>
      <xdr:col>6</xdr:col>
      <xdr:colOff>1609725</xdr:colOff>
      <xdr:row>188</xdr:row>
      <xdr:rowOff>733425</xdr:rowOff>
    </xdr:to>
    <xdr:pic>
      <xdr:nvPicPr>
        <xdr:cNvPr id="440" name="圖片 1034764" descr="畫面剪輯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68075" y="179250975"/>
          <a:ext cx="1314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191</xdr:row>
      <xdr:rowOff>152400</xdr:rowOff>
    </xdr:from>
    <xdr:to>
      <xdr:col>6</xdr:col>
      <xdr:colOff>1524000</xdr:colOff>
      <xdr:row>191</xdr:row>
      <xdr:rowOff>819150</xdr:rowOff>
    </xdr:to>
    <xdr:pic>
      <xdr:nvPicPr>
        <xdr:cNvPr id="441" name="圖片 1034765" descr="畫面剪輯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181371240"/>
          <a:ext cx="1333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342900</xdr:colOff>
      <xdr:row>194</xdr:row>
      <xdr:rowOff>190500</xdr:rowOff>
    </xdr:from>
    <xdr:to>
      <xdr:col>6</xdr:col>
      <xdr:colOff>1619250</xdr:colOff>
      <xdr:row>194</xdr:row>
      <xdr:rowOff>866775</xdr:rowOff>
    </xdr:to>
    <xdr:pic>
      <xdr:nvPicPr>
        <xdr:cNvPr id="442" name="圖片 1034766" descr="畫面剪輯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15700" y="184461150"/>
          <a:ext cx="1266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199</xdr:row>
      <xdr:rowOff>114300</xdr:rowOff>
    </xdr:from>
    <xdr:to>
      <xdr:col>6</xdr:col>
      <xdr:colOff>1466850</xdr:colOff>
      <xdr:row>199</xdr:row>
      <xdr:rowOff>762000</xdr:rowOff>
    </xdr:to>
    <xdr:pic>
      <xdr:nvPicPr>
        <xdr:cNvPr id="443" name="圖片 1034767" descr="畫面剪輯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189471300"/>
          <a:ext cx="1266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200</xdr:row>
      <xdr:rowOff>114300</xdr:rowOff>
    </xdr:from>
    <xdr:to>
      <xdr:col>6</xdr:col>
      <xdr:colOff>1466850</xdr:colOff>
      <xdr:row>200</xdr:row>
      <xdr:rowOff>790575</xdr:rowOff>
    </xdr:to>
    <xdr:pic>
      <xdr:nvPicPr>
        <xdr:cNvPr id="444" name="圖片 1034768" descr="畫面剪輯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46086" y="16053792"/>
          <a:ext cx="1276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202</xdr:row>
      <xdr:rowOff>66675</xdr:rowOff>
    </xdr:from>
    <xdr:to>
      <xdr:col>6</xdr:col>
      <xdr:colOff>1438275</xdr:colOff>
      <xdr:row>202</xdr:row>
      <xdr:rowOff>752475</xdr:rowOff>
    </xdr:to>
    <xdr:pic>
      <xdr:nvPicPr>
        <xdr:cNvPr id="445" name="圖片 1034769" descr="畫面剪輯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2825" y="192475485"/>
          <a:ext cx="1238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228600</xdr:colOff>
      <xdr:row>206</xdr:row>
      <xdr:rowOff>114300</xdr:rowOff>
    </xdr:from>
    <xdr:to>
      <xdr:col>6</xdr:col>
      <xdr:colOff>1524000</xdr:colOff>
      <xdr:row>206</xdr:row>
      <xdr:rowOff>819150</xdr:rowOff>
    </xdr:to>
    <xdr:pic>
      <xdr:nvPicPr>
        <xdr:cNvPr id="446" name="圖片 1034770" descr="畫面剪輯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1400" y="196592190"/>
          <a:ext cx="1295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416</xdr:row>
      <xdr:rowOff>76200</xdr:rowOff>
    </xdr:from>
    <xdr:to>
      <xdr:col>6</xdr:col>
      <xdr:colOff>1590675</xdr:colOff>
      <xdr:row>416</xdr:row>
      <xdr:rowOff>819150</xdr:rowOff>
    </xdr:to>
    <xdr:pic>
      <xdr:nvPicPr>
        <xdr:cNvPr id="447" name="圖片 1034771" descr="畫面剪輯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0" y="316490985"/>
          <a:ext cx="13239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422</xdr:row>
      <xdr:rowOff>47625</xdr:rowOff>
    </xdr:from>
    <xdr:to>
      <xdr:col>6</xdr:col>
      <xdr:colOff>1590675</xdr:colOff>
      <xdr:row>422</xdr:row>
      <xdr:rowOff>876300</xdr:rowOff>
    </xdr:to>
    <xdr:pic>
      <xdr:nvPicPr>
        <xdr:cNvPr id="448" name="圖片 1034772" descr="畫面剪輯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25200" y="322566030"/>
          <a:ext cx="1438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433</xdr:row>
      <xdr:rowOff>47625</xdr:rowOff>
    </xdr:from>
    <xdr:to>
      <xdr:col>6</xdr:col>
      <xdr:colOff>1466850</xdr:colOff>
      <xdr:row>433</xdr:row>
      <xdr:rowOff>781050</xdr:rowOff>
    </xdr:to>
    <xdr:pic>
      <xdr:nvPicPr>
        <xdr:cNvPr id="449" name="圖片 1034773" descr="畫面剪輯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332839695"/>
          <a:ext cx="1276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435</xdr:row>
      <xdr:rowOff>104775</xdr:rowOff>
    </xdr:from>
    <xdr:to>
      <xdr:col>6</xdr:col>
      <xdr:colOff>1619250</xdr:colOff>
      <xdr:row>435</xdr:row>
      <xdr:rowOff>904875</xdr:rowOff>
    </xdr:to>
    <xdr:pic>
      <xdr:nvPicPr>
        <xdr:cNvPr id="451" name="圖片 1034775" descr="畫面剪輯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63300" y="335163795"/>
          <a:ext cx="1419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190499</xdr:colOff>
      <xdr:row>41</xdr:row>
      <xdr:rowOff>122465</xdr:rowOff>
    </xdr:from>
    <xdr:to>
      <xdr:col>4</xdr:col>
      <xdr:colOff>966106</xdr:colOff>
      <xdr:row>41</xdr:row>
      <xdr:rowOff>898072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2218" y="35677504"/>
          <a:ext cx="775607" cy="775607"/>
        </a:xfrm>
        <a:prstGeom prst="rect">
          <a:avLst/>
        </a:prstGeom>
      </xdr:spPr>
    </xdr:pic>
    <xdr:clientData/>
  </xdr:twoCellAnchor>
  <xdr:twoCellAnchor>
    <xdr:from>
      <xdr:col>4</xdr:col>
      <xdr:colOff>217714</xdr:colOff>
      <xdr:row>75</xdr:row>
      <xdr:rowOff>95250</xdr:rowOff>
    </xdr:from>
    <xdr:to>
      <xdr:col>4</xdr:col>
      <xdr:colOff>911679</xdr:colOff>
      <xdr:row>75</xdr:row>
      <xdr:rowOff>789215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0270" y="69414390"/>
          <a:ext cx="694055" cy="693420"/>
        </a:xfrm>
        <a:prstGeom prst="rect">
          <a:avLst/>
        </a:prstGeom>
      </xdr:spPr>
    </xdr:pic>
    <xdr:clientData/>
  </xdr:twoCellAnchor>
  <xdr:twoCellAnchor>
    <xdr:from>
      <xdr:col>4</xdr:col>
      <xdr:colOff>253093</xdr:colOff>
      <xdr:row>31</xdr:row>
      <xdr:rowOff>68036</xdr:rowOff>
    </xdr:from>
    <xdr:to>
      <xdr:col>4</xdr:col>
      <xdr:colOff>1083129</xdr:colOff>
      <xdr:row>31</xdr:row>
      <xdr:rowOff>898072</xdr:rowOff>
    </xdr:to>
    <xdr:pic>
      <xdr:nvPicPr>
        <xdr:cNvPr id="27" name="圖片 26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4812" y="25606942"/>
          <a:ext cx="830036" cy="830036"/>
        </a:xfrm>
        <a:prstGeom prst="rect">
          <a:avLst/>
        </a:prstGeom>
      </xdr:spPr>
    </xdr:pic>
    <xdr:clientData/>
  </xdr:twoCellAnchor>
  <xdr:twoCellAnchor>
    <xdr:from>
      <xdr:col>4</xdr:col>
      <xdr:colOff>163286</xdr:colOff>
      <xdr:row>180</xdr:row>
      <xdr:rowOff>108858</xdr:rowOff>
    </xdr:from>
    <xdr:to>
      <xdr:col>4</xdr:col>
      <xdr:colOff>993322</xdr:colOff>
      <xdr:row>180</xdr:row>
      <xdr:rowOff>938894</xdr:rowOff>
    </xdr:to>
    <xdr:pic>
      <xdr:nvPicPr>
        <xdr:cNvPr id="32" name="圖片 31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295" y="171154725"/>
          <a:ext cx="829945" cy="829945"/>
        </a:xfrm>
        <a:prstGeom prst="rect">
          <a:avLst/>
        </a:prstGeom>
      </xdr:spPr>
    </xdr:pic>
    <xdr:clientData/>
  </xdr:twoCellAnchor>
  <xdr:twoCellAnchor>
    <xdr:from>
      <xdr:col>4</xdr:col>
      <xdr:colOff>205014</xdr:colOff>
      <xdr:row>125</xdr:row>
      <xdr:rowOff>130175</xdr:rowOff>
    </xdr:from>
    <xdr:to>
      <xdr:col>4</xdr:col>
      <xdr:colOff>1021443</xdr:colOff>
      <xdr:row>125</xdr:row>
      <xdr:rowOff>946604</xdr:rowOff>
    </xdr:to>
    <xdr:pic>
      <xdr:nvPicPr>
        <xdr:cNvPr id="44" name="圖片 43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7570" y="116243735"/>
          <a:ext cx="816610" cy="815975"/>
        </a:xfrm>
        <a:prstGeom prst="rect">
          <a:avLst/>
        </a:prstGeom>
      </xdr:spPr>
    </xdr:pic>
    <xdr:clientData/>
  </xdr:twoCellAnchor>
  <xdr:twoCellAnchor>
    <xdr:from>
      <xdr:col>4</xdr:col>
      <xdr:colOff>268755</xdr:colOff>
      <xdr:row>69</xdr:row>
      <xdr:rowOff>67603</xdr:rowOff>
    </xdr:from>
    <xdr:to>
      <xdr:col>4</xdr:col>
      <xdr:colOff>1129634</xdr:colOff>
      <xdr:row>69</xdr:row>
      <xdr:rowOff>928482</xdr:rowOff>
    </xdr:to>
    <xdr:pic>
      <xdr:nvPicPr>
        <xdr:cNvPr id="45" name="圖片 44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474" y="63959517"/>
          <a:ext cx="860879" cy="860879"/>
        </a:xfrm>
        <a:prstGeom prst="rect">
          <a:avLst/>
        </a:prstGeom>
      </xdr:spPr>
    </xdr:pic>
    <xdr:clientData/>
  </xdr:twoCellAnchor>
  <xdr:twoCellAnchor>
    <xdr:from>
      <xdr:col>4</xdr:col>
      <xdr:colOff>217714</xdr:colOff>
      <xdr:row>134</xdr:row>
      <xdr:rowOff>108857</xdr:rowOff>
    </xdr:from>
    <xdr:to>
      <xdr:col>4</xdr:col>
      <xdr:colOff>925285</xdr:colOff>
      <xdr:row>134</xdr:row>
      <xdr:rowOff>816428</xdr:rowOff>
    </xdr:to>
    <xdr:pic>
      <xdr:nvPicPr>
        <xdr:cNvPr id="92" name="圖片 91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433" y="123710615"/>
          <a:ext cx="707571" cy="707571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169</xdr:row>
      <xdr:rowOff>122463</xdr:rowOff>
    </xdr:from>
    <xdr:to>
      <xdr:col>4</xdr:col>
      <xdr:colOff>1006929</xdr:colOff>
      <xdr:row>169</xdr:row>
      <xdr:rowOff>938893</xdr:rowOff>
    </xdr:to>
    <xdr:pic>
      <xdr:nvPicPr>
        <xdr:cNvPr id="95" name="圖片 94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2218" y="156109221"/>
          <a:ext cx="816430" cy="816430"/>
        </a:xfrm>
        <a:prstGeom prst="rect">
          <a:avLst/>
        </a:prstGeom>
      </xdr:spPr>
    </xdr:pic>
    <xdr:clientData/>
  </xdr:twoCellAnchor>
  <xdr:twoCellAnchor>
    <xdr:from>
      <xdr:col>4</xdr:col>
      <xdr:colOff>217716</xdr:colOff>
      <xdr:row>110</xdr:row>
      <xdr:rowOff>176893</xdr:rowOff>
    </xdr:from>
    <xdr:to>
      <xdr:col>4</xdr:col>
      <xdr:colOff>925288</xdr:colOff>
      <xdr:row>110</xdr:row>
      <xdr:rowOff>884465</xdr:rowOff>
    </xdr:to>
    <xdr:pic>
      <xdr:nvPicPr>
        <xdr:cNvPr id="143" name="圖片 142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435" y="100501932"/>
          <a:ext cx="707572" cy="707572"/>
        </a:xfrm>
        <a:prstGeom prst="rect">
          <a:avLst/>
        </a:prstGeom>
      </xdr:spPr>
    </xdr:pic>
    <xdr:clientData/>
  </xdr:twoCellAnchor>
  <xdr:twoCellAnchor>
    <xdr:from>
      <xdr:col>4</xdr:col>
      <xdr:colOff>217714</xdr:colOff>
      <xdr:row>147</xdr:row>
      <xdr:rowOff>136071</xdr:rowOff>
    </xdr:from>
    <xdr:to>
      <xdr:col>4</xdr:col>
      <xdr:colOff>911679</xdr:colOff>
      <xdr:row>147</xdr:row>
      <xdr:rowOff>830036</xdr:rowOff>
    </xdr:to>
    <xdr:pic>
      <xdr:nvPicPr>
        <xdr:cNvPr id="146" name="圖片 145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0270" y="138629390"/>
          <a:ext cx="694055" cy="694055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4</xdr:col>
      <xdr:colOff>176893</xdr:colOff>
      <xdr:row>139</xdr:row>
      <xdr:rowOff>95250</xdr:rowOff>
    </xdr:from>
    <xdr:to>
      <xdr:col>4</xdr:col>
      <xdr:colOff>1006929</xdr:colOff>
      <xdr:row>139</xdr:row>
      <xdr:rowOff>925286</xdr:rowOff>
    </xdr:to>
    <xdr:pic>
      <xdr:nvPicPr>
        <xdr:cNvPr id="147" name="圖片 146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8612" y="127745133"/>
          <a:ext cx="830036" cy="830036"/>
        </a:xfrm>
        <a:prstGeom prst="rect">
          <a:avLst/>
        </a:prstGeom>
      </xdr:spPr>
    </xdr:pic>
    <xdr:clientData/>
  </xdr:twoCellAnchor>
  <xdr:twoCellAnchor>
    <xdr:from>
      <xdr:col>4</xdr:col>
      <xdr:colOff>163286</xdr:colOff>
      <xdr:row>419</xdr:row>
      <xdr:rowOff>81643</xdr:rowOff>
    </xdr:from>
    <xdr:to>
      <xdr:col>4</xdr:col>
      <xdr:colOff>911678</xdr:colOff>
      <xdr:row>419</xdr:row>
      <xdr:rowOff>830035</xdr:rowOff>
    </xdr:to>
    <xdr:pic>
      <xdr:nvPicPr>
        <xdr:cNvPr id="152" name="圖片 151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5005" y="321952229"/>
          <a:ext cx="748392" cy="748392"/>
        </a:xfrm>
        <a:prstGeom prst="rect">
          <a:avLst/>
        </a:prstGeom>
      </xdr:spPr>
    </xdr:pic>
    <xdr:clientData/>
  </xdr:twoCellAnchor>
  <xdr:twoCellAnchor>
    <xdr:from>
      <xdr:col>4</xdr:col>
      <xdr:colOff>204476</xdr:colOff>
      <xdr:row>22</xdr:row>
      <xdr:rowOff>85450</xdr:rowOff>
    </xdr:from>
    <xdr:to>
      <xdr:col>4</xdr:col>
      <xdr:colOff>992783</xdr:colOff>
      <xdr:row>22</xdr:row>
      <xdr:rowOff>876300</xdr:rowOff>
    </xdr:to>
    <xdr:pic>
      <xdr:nvPicPr>
        <xdr:cNvPr id="487" name="圖片 486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6195" y="15816583"/>
          <a:ext cx="788307" cy="790850"/>
        </a:xfrm>
        <a:prstGeom prst="rect">
          <a:avLst/>
        </a:prstGeom>
      </xdr:spPr>
    </xdr:pic>
    <xdr:clientData/>
  </xdr:twoCellAnchor>
  <xdr:twoCellAnchor>
    <xdr:from>
      <xdr:col>4</xdr:col>
      <xdr:colOff>108857</xdr:colOff>
      <xdr:row>1</xdr:row>
      <xdr:rowOff>54428</xdr:rowOff>
    </xdr:from>
    <xdr:to>
      <xdr:col>4</xdr:col>
      <xdr:colOff>993322</xdr:colOff>
      <xdr:row>1</xdr:row>
      <xdr:rowOff>938893</xdr:rowOff>
    </xdr:to>
    <xdr:pic>
      <xdr:nvPicPr>
        <xdr:cNvPr id="488" name="圖片 487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685" y="815975"/>
          <a:ext cx="884555" cy="884555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5</xdr:row>
      <xdr:rowOff>81643</xdr:rowOff>
    </xdr:from>
    <xdr:to>
      <xdr:col>4</xdr:col>
      <xdr:colOff>1006929</xdr:colOff>
      <xdr:row>5</xdr:row>
      <xdr:rowOff>898071</xdr:rowOff>
    </xdr:to>
    <xdr:pic>
      <xdr:nvPicPr>
        <xdr:cNvPr id="489" name="圖片 488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1626" y="3891643"/>
          <a:ext cx="816428" cy="816428"/>
        </a:xfrm>
        <a:prstGeom prst="rect">
          <a:avLst/>
        </a:prstGeom>
      </xdr:spPr>
    </xdr:pic>
    <xdr:clientData/>
  </xdr:twoCellAnchor>
  <xdr:twoCellAnchor>
    <xdr:from>
      <xdr:col>4</xdr:col>
      <xdr:colOff>136071</xdr:colOff>
      <xdr:row>168</xdr:row>
      <xdr:rowOff>149678</xdr:rowOff>
    </xdr:from>
    <xdr:to>
      <xdr:col>4</xdr:col>
      <xdr:colOff>825215</xdr:colOff>
      <xdr:row>168</xdr:row>
      <xdr:rowOff>838822</xdr:rowOff>
    </xdr:to>
    <xdr:pic>
      <xdr:nvPicPr>
        <xdr:cNvPr id="490" name="圖片 489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8990" y="155936315"/>
          <a:ext cx="688975" cy="688975"/>
        </a:xfrm>
        <a:prstGeom prst="rect">
          <a:avLst/>
        </a:prstGeom>
      </xdr:spPr>
    </xdr:pic>
    <xdr:clientData/>
  </xdr:twoCellAnchor>
  <xdr:twoCellAnchor>
    <xdr:from>
      <xdr:col>4</xdr:col>
      <xdr:colOff>204429</xdr:colOff>
      <xdr:row>9</xdr:row>
      <xdr:rowOff>68356</xdr:rowOff>
    </xdr:from>
    <xdr:to>
      <xdr:col>4</xdr:col>
      <xdr:colOff>893573</xdr:colOff>
      <xdr:row>9</xdr:row>
      <xdr:rowOff>757500</xdr:rowOff>
    </xdr:to>
    <xdr:pic>
      <xdr:nvPicPr>
        <xdr:cNvPr id="491" name="圖片 490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6935" y="5916295"/>
          <a:ext cx="689610" cy="688975"/>
        </a:xfrm>
        <a:prstGeom prst="rect">
          <a:avLst/>
        </a:prstGeom>
      </xdr:spPr>
    </xdr:pic>
    <xdr:clientData/>
  </xdr:twoCellAnchor>
  <xdr:twoCellAnchor>
    <xdr:from>
      <xdr:col>4</xdr:col>
      <xdr:colOff>177536</xdr:colOff>
      <xdr:row>126</xdr:row>
      <xdr:rowOff>245571</xdr:rowOff>
    </xdr:from>
    <xdr:to>
      <xdr:col>4</xdr:col>
      <xdr:colOff>866680</xdr:colOff>
      <xdr:row>126</xdr:row>
      <xdr:rowOff>934715</xdr:rowOff>
    </xdr:to>
    <xdr:pic>
      <xdr:nvPicPr>
        <xdr:cNvPr id="492" name="圖片 491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0265" y="117375940"/>
          <a:ext cx="688975" cy="688975"/>
        </a:xfrm>
        <a:prstGeom prst="rect">
          <a:avLst/>
        </a:prstGeom>
      </xdr:spPr>
    </xdr:pic>
    <xdr:clientData/>
  </xdr:twoCellAnchor>
  <xdr:twoCellAnchor>
    <xdr:from>
      <xdr:col>4</xdr:col>
      <xdr:colOff>274392</xdr:colOff>
      <xdr:row>15</xdr:row>
      <xdr:rowOff>138321</xdr:rowOff>
    </xdr:from>
    <xdr:to>
      <xdr:col>4</xdr:col>
      <xdr:colOff>963536</xdr:colOff>
      <xdr:row>15</xdr:row>
      <xdr:rowOff>827465</xdr:rowOff>
    </xdr:to>
    <xdr:pic>
      <xdr:nvPicPr>
        <xdr:cNvPr id="497" name="圖片 496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7420" y="9037955"/>
          <a:ext cx="688975" cy="689610"/>
        </a:xfrm>
        <a:prstGeom prst="rect">
          <a:avLst/>
        </a:prstGeom>
      </xdr:spPr>
    </xdr:pic>
    <xdr:clientData/>
  </xdr:twoCellAnchor>
  <xdr:twoCellAnchor>
    <xdr:from>
      <xdr:col>4</xdr:col>
      <xdr:colOff>326572</xdr:colOff>
      <xdr:row>152</xdr:row>
      <xdr:rowOff>179463</xdr:rowOff>
    </xdr:from>
    <xdr:to>
      <xdr:col>4</xdr:col>
      <xdr:colOff>1016201</xdr:colOff>
      <xdr:row>152</xdr:row>
      <xdr:rowOff>868607</xdr:rowOff>
    </xdr:to>
    <xdr:pic>
      <xdr:nvPicPr>
        <xdr:cNvPr id="498" name="圖片 497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9490" y="144776190"/>
          <a:ext cx="689610" cy="688975"/>
        </a:xfrm>
        <a:prstGeom prst="rect">
          <a:avLst/>
        </a:prstGeom>
      </xdr:spPr>
    </xdr:pic>
    <xdr:clientData/>
  </xdr:twoCellAnchor>
  <xdr:twoCellAnchor>
    <xdr:from>
      <xdr:col>4</xdr:col>
      <xdr:colOff>356680</xdr:colOff>
      <xdr:row>102</xdr:row>
      <xdr:rowOff>125356</xdr:rowOff>
    </xdr:from>
    <xdr:to>
      <xdr:col>4</xdr:col>
      <xdr:colOff>1045792</xdr:colOff>
      <xdr:row>102</xdr:row>
      <xdr:rowOff>814500</xdr:rowOff>
    </xdr:to>
    <xdr:pic>
      <xdr:nvPicPr>
        <xdr:cNvPr id="499" name="圖片 498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9335" y="93858715"/>
          <a:ext cx="688975" cy="688975"/>
        </a:xfrm>
        <a:prstGeom prst="rect">
          <a:avLst/>
        </a:prstGeom>
      </xdr:spPr>
    </xdr:pic>
    <xdr:clientData/>
  </xdr:twoCellAnchor>
  <xdr:twoCellAnchor>
    <xdr:from>
      <xdr:col>4</xdr:col>
      <xdr:colOff>234535</xdr:colOff>
      <xdr:row>98</xdr:row>
      <xdr:rowOff>166499</xdr:rowOff>
    </xdr:from>
    <xdr:to>
      <xdr:col>4</xdr:col>
      <xdr:colOff>923679</xdr:colOff>
      <xdr:row>98</xdr:row>
      <xdr:rowOff>855643</xdr:rowOff>
    </xdr:to>
    <xdr:pic>
      <xdr:nvPicPr>
        <xdr:cNvPr id="500" name="圖片 499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415" y="89830910"/>
          <a:ext cx="688975" cy="688975"/>
        </a:xfrm>
        <a:prstGeom prst="rect">
          <a:avLst/>
        </a:prstGeom>
      </xdr:spPr>
    </xdr:pic>
    <xdr:clientData/>
  </xdr:twoCellAnchor>
  <xdr:twoCellAnchor>
    <xdr:from>
      <xdr:col>4</xdr:col>
      <xdr:colOff>384537</xdr:colOff>
      <xdr:row>93</xdr:row>
      <xdr:rowOff>74292</xdr:rowOff>
    </xdr:from>
    <xdr:to>
      <xdr:col>4</xdr:col>
      <xdr:colOff>1073681</xdr:colOff>
      <xdr:row>93</xdr:row>
      <xdr:rowOff>763436</xdr:rowOff>
    </xdr:to>
    <xdr:pic>
      <xdr:nvPicPr>
        <xdr:cNvPr id="501" name="圖片 500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275" y="86686390"/>
          <a:ext cx="688975" cy="689610"/>
        </a:xfrm>
        <a:prstGeom prst="rect">
          <a:avLst/>
        </a:prstGeom>
      </xdr:spPr>
    </xdr:pic>
    <xdr:clientData/>
  </xdr:twoCellAnchor>
  <xdr:twoCellAnchor>
    <xdr:from>
      <xdr:col>4</xdr:col>
      <xdr:colOff>480108</xdr:colOff>
      <xdr:row>155</xdr:row>
      <xdr:rowOff>153535</xdr:rowOff>
    </xdr:from>
    <xdr:to>
      <xdr:col>4</xdr:col>
      <xdr:colOff>1169252</xdr:colOff>
      <xdr:row>155</xdr:row>
      <xdr:rowOff>842679</xdr:rowOff>
    </xdr:to>
    <xdr:pic>
      <xdr:nvPicPr>
        <xdr:cNvPr id="502" name="圖片 501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3160" y="147801965"/>
          <a:ext cx="688975" cy="689610"/>
        </a:xfrm>
        <a:prstGeom prst="rect">
          <a:avLst/>
        </a:prstGeom>
      </xdr:spPr>
    </xdr:pic>
    <xdr:clientData/>
  </xdr:twoCellAnchor>
  <xdr:twoCellAnchor>
    <xdr:from>
      <xdr:col>4</xdr:col>
      <xdr:colOff>371572</xdr:colOff>
      <xdr:row>193</xdr:row>
      <xdr:rowOff>140249</xdr:rowOff>
    </xdr:from>
    <xdr:to>
      <xdr:col>4</xdr:col>
      <xdr:colOff>1060716</xdr:colOff>
      <xdr:row>193</xdr:row>
      <xdr:rowOff>829393</xdr:rowOff>
    </xdr:to>
    <xdr:pic>
      <xdr:nvPicPr>
        <xdr:cNvPr id="503" name="圖片 502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183393080"/>
          <a:ext cx="688975" cy="689610"/>
        </a:xfrm>
        <a:prstGeom prst="rect">
          <a:avLst/>
        </a:prstGeom>
      </xdr:spPr>
    </xdr:pic>
    <xdr:clientData/>
  </xdr:twoCellAnchor>
  <xdr:twoCellAnchor>
    <xdr:from>
      <xdr:col>4</xdr:col>
      <xdr:colOff>317466</xdr:colOff>
      <xdr:row>51</xdr:row>
      <xdr:rowOff>154178</xdr:rowOff>
    </xdr:from>
    <xdr:to>
      <xdr:col>4</xdr:col>
      <xdr:colOff>1006610</xdr:colOff>
      <xdr:row>51</xdr:row>
      <xdr:rowOff>843322</xdr:rowOff>
    </xdr:to>
    <xdr:pic>
      <xdr:nvPicPr>
        <xdr:cNvPr id="504" name="圖片 503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965" y="46075600"/>
          <a:ext cx="689610" cy="689610"/>
        </a:xfrm>
        <a:prstGeom prst="rect">
          <a:avLst/>
        </a:prstGeom>
      </xdr:spPr>
    </xdr:pic>
    <xdr:clientData/>
  </xdr:twoCellAnchor>
  <xdr:twoCellAnchor>
    <xdr:from>
      <xdr:col>4</xdr:col>
      <xdr:colOff>249751</xdr:colOff>
      <xdr:row>415</xdr:row>
      <xdr:rowOff>113677</xdr:rowOff>
    </xdr:from>
    <xdr:to>
      <xdr:col>4</xdr:col>
      <xdr:colOff>938895</xdr:colOff>
      <xdr:row>415</xdr:row>
      <xdr:rowOff>802821</xdr:rowOff>
    </xdr:to>
    <xdr:pic>
      <xdr:nvPicPr>
        <xdr:cNvPr id="505" name="圖片 504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2655" y="315511180"/>
          <a:ext cx="688975" cy="688975"/>
        </a:xfrm>
        <a:prstGeom prst="rect">
          <a:avLst/>
        </a:prstGeom>
      </xdr:spPr>
    </xdr:pic>
    <xdr:clientData/>
  </xdr:twoCellAnchor>
  <xdr:twoCellAnchor>
    <xdr:from>
      <xdr:col>6</xdr:col>
      <xdr:colOff>86472</xdr:colOff>
      <xdr:row>9</xdr:row>
      <xdr:rowOff>197524</xdr:rowOff>
    </xdr:from>
    <xdr:to>
      <xdr:col>6</xdr:col>
      <xdr:colOff>1534482</xdr:colOff>
      <xdr:row>9</xdr:row>
      <xdr:rowOff>902472</xdr:rowOff>
    </xdr:to>
    <xdr:pic>
      <xdr:nvPicPr>
        <xdr:cNvPr id="506" name="圖片 505" descr="畫面剪輯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9160" y="6045835"/>
          <a:ext cx="1447800" cy="704850"/>
        </a:xfrm>
        <a:prstGeom prst="rect">
          <a:avLst/>
        </a:prstGeom>
      </xdr:spPr>
    </xdr:pic>
    <xdr:clientData/>
  </xdr:twoCellAnchor>
  <xdr:twoCellAnchor>
    <xdr:from>
      <xdr:col>6</xdr:col>
      <xdr:colOff>217714</xdr:colOff>
      <xdr:row>15</xdr:row>
      <xdr:rowOff>95250</xdr:rowOff>
    </xdr:from>
    <xdr:to>
      <xdr:col>6</xdr:col>
      <xdr:colOff>1646664</xdr:colOff>
      <xdr:row>15</xdr:row>
      <xdr:rowOff>838304</xdr:rowOff>
    </xdr:to>
    <xdr:pic>
      <xdr:nvPicPr>
        <xdr:cNvPr id="507" name="圖片 506" descr="畫面剪輯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9970" y="8995410"/>
          <a:ext cx="1392555" cy="742950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51</xdr:row>
      <xdr:rowOff>122464</xdr:rowOff>
    </xdr:from>
    <xdr:to>
      <xdr:col>6</xdr:col>
      <xdr:colOff>1653474</xdr:colOff>
      <xdr:row>51</xdr:row>
      <xdr:rowOff>865518</xdr:rowOff>
    </xdr:to>
    <xdr:pic>
      <xdr:nvPicPr>
        <xdr:cNvPr id="508" name="圖片 507" descr="畫面剪輯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5143" y="46032964"/>
          <a:ext cx="1476581" cy="743054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93</xdr:row>
      <xdr:rowOff>136071</xdr:rowOff>
    </xdr:from>
    <xdr:to>
      <xdr:col>6</xdr:col>
      <xdr:colOff>1633070</xdr:colOff>
      <xdr:row>93</xdr:row>
      <xdr:rowOff>888651</xdr:rowOff>
    </xdr:to>
    <xdr:pic>
      <xdr:nvPicPr>
        <xdr:cNvPr id="509" name="圖片 508" descr="畫面剪輯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7107" y="86686571"/>
          <a:ext cx="1524213" cy="752580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98</xdr:row>
      <xdr:rowOff>204107</xdr:rowOff>
    </xdr:from>
    <xdr:to>
      <xdr:col>6</xdr:col>
      <xdr:colOff>1672527</xdr:colOff>
      <xdr:row>98</xdr:row>
      <xdr:rowOff>918582</xdr:rowOff>
    </xdr:to>
    <xdr:pic>
      <xdr:nvPicPr>
        <xdr:cNvPr id="510" name="圖片 509" descr="畫面剪輯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89868375"/>
          <a:ext cx="1433195" cy="71437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102</xdr:row>
      <xdr:rowOff>136072</xdr:rowOff>
    </xdr:from>
    <xdr:to>
      <xdr:col>6</xdr:col>
      <xdr:colOff>1648029</xdr:colOff>
      <xdr:row>102</xdr:row>
      <xdr:rowOff>945810</xdr:rowOff>
    </xdr:to>
    <xdr:pic>
      <xdr:nvPicPr>
        <xdr:cNvPr id="511" name="圖片 510" descr="畫面剪輯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93869510"/>
          <a:ext cx="1419225" cy="80962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126</xdr:row>
      <xdr:rowOff>136071</xdr:rowOff>
    </xdr:from>
    <xdr:to>
      <xdr:col>6</xdr:col>
      <xdr:colOff>1648029</xdr:colOff>
      <xdr:row>126</xdr:row>
      <xdr:rowOff>869598</xdr:rowOff>
    </xdr:to>
    <xdr:pic>
      <xdr:nvPicPr>
        <xdr:cNvPr id="512" name="圖片 511" descr="畫面剪輯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117266720"/>
          <a:ext cx="1419225" cy="733425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152</xdr:row>
      <xdr:rowOff>95250</xdr:rowOff>
    </xdr:from>
    <xdr:to>
      <xdr:col>6</xdr:col>
      <xdr:colOff>1649394</xdr:colOff>
      <xdr:row>152</xdr:row>
      <xdr:rowOff>847830</xdr:rowOff>
    </xdr:to>
    <xdr:pic>
      <xdr:nvPicPr>
        <xdr:cNvPr id="513" name="圖片 512" descr="畫面剪輯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144692370"/>
          <a:ext cx="1446530" cy="752475"/>
        </a:xfrm>
        <a:prstGeom prst="rect">
          <a:avLst/>
        </a:prstGeom>
      </xdr:spPr>
    </xdr:pic>
    <xdr:clientData/>
  </xdr:twoCellAnchor>
  <xdr:twoCellAnchor>
    <xdr:from>
      <xdr:col>6</xdr:col>
      <xdr:colOff>217715</xdr:colOff>
      <xdr:row>155</xdr:row>
      <xdr:rowOff>217715</xdr:rowOff>
    </xdr:from>
    <xdr:to>
      <xdr:col>6</xdr:col>
      <xdr:colOff>1684770</xdr:colOff>
      <xdr:row>155</xdr:row>
      <xdr:rowOff>960769</xdr:rowOff>
    </xdr:to>
    <xdr:pic>
      <xdr:nvPicPr>
        <xdr:cNvPr id="514" name="圖片 513" descr="畫面剪輯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9970" y="147866100"/>
          <a:ext cx="1392555" cy="743585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168</xdr:row>
      <xdr:rowOff>81643</xdr:rowOff>
    </xdr:from>
    <xdr:to>
      <xdr:col>6</xdr:col>
      <xdr:colOff>1603127</xdr:colOff>
      <xdr:row>168</xdr:row>
      <xdr:rowOff>843749</xdr:rowOff>
    </xdr:to>
    <xdr:pic>
      <xdr:nvPicPr>
        <xdr:cNvPr id="515" name="圖片 514" descr="畫面剪輯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137" y="155431320"/>
          <a:ext cx="1467055" cy="762106"/>
        </a:xfrm>
        <a:prstGeom prst="rect">
          <a:avLst/>
        </a:prstGeom>
      </xdr:spPr>
    </xdr:pic>
    <xdr:clientData/>
  </xdr:twoCellAnchor>
  <xdr:twoCellAnchor>
    <xdr:from>
      <xdr:col>6</xdr:col>
      <xdr:colOff>163285</xdr:colOff>
      <xdr:row>193</xdr:row>
      <xdr:rowOff>95250</xdr:rowOff>
    </xdr:from>
    <xdr:to>
      <xdr:col>6</xdr:col>
      <xdr:colOff>1697024</xdr:colOff>
      <xdr:row>193</xdr:row>
      <xdr:rowOff>914514</xdr:rowOff>
    </xdr:to>
    <xdr:pic>
      <xdr:nvPicPr>
        <xdr:cNvPr id="516" name="圖片 515" descr="畫面剪輯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183348630"/>
          <a:ext cx="1446530" cy="819150"/>
        </a:xfrm>
        <a:prstGeom prst="rect">
          <a:avLst/>
        </a:prstGeom>
      </xdr:spPr>
    </xdr:pic>
    <xdr:clientData/>
  </xdr:twoCellAnchor>
  <xdr:twoCellAnchor>
    <xdr:from>
      <xdr:col>6</xdr:col>
      <xdr:colOff>122464</xdr:colOff>
      <xdr:row>415</xdr:row>
      <xdr:rowOff>54429</xdr:rowOff>
    </xdr:from>
    <xdr:to>
      <xdr:col>6</xdr:col>
      <xdr:colOff>1646677</xdr:colOff>
      <xdr:row>415</xdr:row>
      <xdr:rowOff>883220</xdr:rowOff>
    </xdr:to>
    <xdr:pic>
      <xdr:nvPicPr>
        <xdr:cNvPr id="517" name="圖片 516" descr="畫面剪輯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720" y="315451490"/>
          <a:ext cx="1487805" cy="828675"/>
        </a:xfrm>
        <a:prstGeom prst="rect">
          <a:avLst/>
        </a:prstGeom>
      </xdr:spPr>
    </xdr:pic>
    <xdr:clientData/>
  </xdr:twoCellAnchor>
  <xdr:twoCellAnchor>
    <xdr:from>
      <xdr:col>6</xdr:col>
      <xdr:colOff>176894</xdr:colOff>
      <xdr:row>1</xdr:row>
      <xdr:rowOff>136072</xdr:rowOff>
    </xdr:from>
    <xdr:to>
      <xdr:col>6</xdr:col>
      <xdr:colOff>1615370</xdr:colOff>
      <xdr:row>1</xdr:row>
      <xdr:rowOff>898178</xdr:rowOff>
    </xdr:to>
    <xdr:pic>
      <xdr:nvPicPr>
        <xdr:cNvPr id="518" name="圖片 517" descr="畫面剪輯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897890"/>
          <a:ext cx="1433195" cy="762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</xdr:row>
      <xdr:rowOff>54429</xdr:rowOff>
    </xdr:from>
    <xdr:to>
      <xdr:col>6</xdr:col>
      <xdr:colOff>1552779</xdr:colOff>
      <xdr:row>5</xdr:row>
      <xdr:rowOff>835588</xdr:rowOff>
    </xdr:to>
    <xdr:pic>
      <xdr:nvPicPr>
        <xdr:cNvPr id="519" name="圖片 518" descr="畫面剪輯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867785"/>
          <a:ext cx="1457325" cy="78105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22</xdr:row>
      <xdr:rowOff>81643</xdr:rowOff>
    </xdr:from>
    <xdr:to>
      <xdr:col>6</xdr:col>
      <xdr:colOff>1620815</xdr:colOff>
      <xdr:row>22</xdr:row>
      <xdr:rowOff>862802</xdr:rowOff>
    </xdr:to>
    <xdr:pic>
      <xdr:nvPicPr>
        <xdr:cNvPr id="520" name="圖片 519" descr="畫面剪輯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15896590"/>
          <a:ext cx="1446530" cy="781050"/>
        </a:xfrm>
        <a:prstGeom prst="rect">
          <a:avLst/>
        </a:prstGeom>
      </xdr:spPr>
    </xdr:pic>
    <xdr:clientData/>
  </xdr:twoCellAnchor>
  <xdr:twoCellAnchor>
    <xdr:from>
      <xdr:col>6</xdr:col>
      <xdr:colOff>163285</xdr:colOff>
      <xdr:row>31</xdr:row>
      <xdr:rowOff>176893</xdr:rowOff>
    </xdr:from>
    <xdr:to>
      <xdr:col>6</xdr:col>
      <xdr:colOff>1658919</xdr:colOff>
      <xdr:row>31</xdr:row>
      <xdr:rowOff>929473</xdr:rowOff>
    </xdr:to>
    <xdr:pic>
      <xdr:nvPicPr>
        <xdr:cNvPr id="521" name="圖片 520" descr="畫面剪輯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7621" y="24703768"/>
          <a:ext cx="1495634" cy="752580"/>
        </a:xfrm>
        <a:prstGeom prst="rect">
          <a:avLst/>
        </a:prstGeom>
      </xdr:spPr>
    </xdr:pic>
    <xdr:clientData/>
  </xdr:twoCellAnchor>
  <xdr:twoCellAnchor>
    <xdr:from>
      <xdr:col>6</xdr:col>
      <xdr:colOff>204107</xdr:colOff>
      <xdr:row>41</xdr:row>
      <xdr:rowOff>108857</xdr:rowOff>
    </xdr:from>
    <xdr:to>
      <xdr:col>6</xdr:col>
      <xdr:colOff>1690215</xdr:colOff>
      <xdr:row>41</xdr:row>
      <xdr:rowOff>880490</xdr:rowOff>
    </xdr:to>
    <xdr:pic>
      <xdr:nvPicPr>
        <xdr:cNvPr id="522" name="圖片 521" descr="畫面剪輯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635" y="35857815"/>
          <a:ext cx="1405890" cy="77152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69</xdr:row>
      <xdr:rowOff>136071</xdr:rowOff>
    </xdr:from>
    <xdr:to>
      <xdr:col>6</xdr:col>
      <xdr:colOff>1667081</xdr:colOff>
      <xdr:row>69</xdr:row>
      <xdr:rowOff>926756</xdr:rowOff>
    </xdr:to>
    <xdr:pic>
      <xdr:nvPicPr>
        <xdr:cNvPr id="523" name="圖片 522" descr="畫面剪輯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4368680"/>
          <a:ext cx="1419225" cy="790575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75</xdr:row>
      <xdr:rowOff>54428</xdr:rowOff>
    </xdr:from>
    <xdr:to>
      <xdr:col>6</xdr:col>
      <xdr:colOff>1643948</xdr:colOff>
      <xdr:row>75</xdr:row>
      <xdr:rowOff>826061</xdr:rowOff>
    </xdr:to>
    <xdr:pic>
      <xdr:nvPicPr>
        <xdr:cNvPr id="524" name="圖片 523" descr="畫面剪輯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69373115"/>
          <a:ext cx="1433195" cy="771525"/>
        </a:xfrm>
        <a:prstGeom prst="rect">
          <a:avLst/>
        </a:prstGeom>
      </xdr:spPr>
    </xdr:pic>
    <xdr:clientData/>
  </xdr:twoCellAnchor>
  <xdr:twoCellAnchor>
    <xdr:from>
      <xdr:col>6</xdr:col>
      <xdr:colOff>149680</xdr:colOff>
      <xdr:row>110</xdr:row>
      <xdr:rowOff>224468</xdr:rowOff>
    </xdr:from>
    <xdr:to>
      <xdr:col>6</xdr:col>
      <xdr:colOff>1490202</xdr:colOff>
      <xdr:row>110</xdr:row>
      <xdr:rowOff>925391</xdr:rowOff>
    </xdr:to>
    <xdr:pic>
      <xdr:nvPicPr>
        <xdr:cNvPr id="525" name="圖片 524" descr="畫面剪輯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2745" y="101834710"/>
          <a:ext cx="1340522" cy="700923"/>
        </a:xfrm>
        <a:prstGeom prst="rect">
          <a:avLst/>
        </a:prstGeom>
      </xdr:spPr>
    </xdr:pic>
    <xdr:clientData/>
  </xdr:twoCellAnchor>
  <xdr:twoCellAnchor>
    <xdr:from>
      <xdr:col>6</xdr:col>
      <xdr:colOff>149679</xdr:colOff>
      <xdr:row>125</xdr:row>
      <xdr:rowOff>68035</xdr:rowOff>
    </xdr:from>
    <xdr:to>
      <xdr:col>6</xdr:col>
      <xdr:colOff>1654839</xdr:colOff>
      <xdr:row>125</xdr:row>
      <xdr:rowOff>839668</xdr:rowOff>
    </xdr:to>
    <xdr:pic>
      <xdr:nvPicPr>
        <xdr:cNvPr id="526" name="圖片 525" descr="畫面剪輯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025" y="116181505"/>
          <a:ext cx="1460500" cy="771525"/>
        </a:xfrm>
        <a:prstGeom prst="rect">
          <a:avLst/>
        </a:prstGeom>
      </xdr:spPr>
    </xdr:pic>
    <xdr:clientData/>
  </xdr:twoCellAnchor>
  <xdr:twoCellAnchor>
    <xdr:from>
      <xdr:col>6</xdr:col>
      <xdr:colOff>149679</xdr:colOff>
      <xdr:row>134</xdr:row>
      <xdr:rowOff>136072</xdr:rowOff>
    </xdr:from>
    <xdr:to>
      <xdr:col>6</xdr:col>
      <xdr:colOff>1588155</xdr:colOff>
      <xdr:row>134</xdr:row>
      <xdr:rowOff>869599</xdr:rowOff>
    </xdr:to>
    <xdr:pic>
      <xdr:nvPicPr>
        <xdr:cNvPr id="527" name="圖片 526" descr="畫面剪輯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025" y="127439420"/>
          <a:ext cx="1438910" cy="733425"/>
        </a:xfrm>
        <a:prstGeom prst="rect">
          <a:avLst/>
        </a:prstGeom>
      </xdr:spPr>
    </xdr:pic>
    <xdr:clientData/>
  </xdr:twoCellAnchor>
  <xdr:twoCellAnchor>
    <xdr:from>
      <xdr:col>6</xdr:col>
      <xdr:colOff>149678</xdr:colOff>
      <xdr:row>139</xdr:row>
      <xdr:rowOff>95249</xdr:rowOff>
    </xdr:from>
    <xdr:to>
      <xdr:col>6</xdr:col>
      <xdr:colOff>1626259</xdr:colOff>
      <xdr:row>139</xdr:row>
      <xdr:rowOff>933566</xdr:rowOff>
    </xdr:to>
    <xdr:pic>
      <xdr:nvPicPr>
        <xdr:cNvPr id="528" name="圖片 527" descr="畫面剪輯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025" y="131467225"/>
          <a:ext cx="1460500" cy="838835"/>
        </a:xfrm>
        <a:prstGeom prst="rect">
          <a:avLst/>
        </a:prstGeom>
      </xdr:spPr>
    </xdr:pic>
    <xdr:clientData/>
  </xdr:twoCellAnchor>
  <xdr:twoCellAnchor>
    <xdr:from>
      <xdr:col>6</xdr:col>
      <xdr:colOff>204107</xdr:colOff>
      <xdr:row>147</xdr:row>
      <xdr:rowOff>68036</xdr:rowOff>
    </xdr:from>
    <xdr:to>
      <xdr:col>6</xdr:col>
      <xdr:colOff>1661636</xdr:colOff>
      <xdr:row>147</xdr:row>
      <xdr:rowOff>925406</xdr:rowOff>
    </xdr:to>
    <xdr:pic>
      <xdr:nvPicPr>
        <xdr:cNvPr id="529" name="圖片 528" descr="畫面剪輯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635" y="138561445"/>
          <a:ext cx="1405890" cy="857250"/>
        </a:xfrm>
        <a:prstGeom prst="rect">
          <a:avLst/>
        </a:prstGeom>
      </xdr:spPr>
    </xdr:pic>
    <xdr:clientData/>
  </xdr:twoCellAnchor>
  <xdr:twoCellAnchor>
    <xdr:from>
      <xdr:col>6</xdr:col>
      <xdr:colOff>231131</xdr:colOff>
      <xdr:row>169</xdr:row>
      <xdr:rowOff>136645</xdr:rowOff>
    </xdr:from>
    <xdr:to>
      <xdr:col>6</xdr:col>
      <xdr:colOff>1698186</xdr:colOff>
      <xdr:row>169</xdr:row>
      <xdr:rowOff>879699</xdr:rowOff>
    </xdr:to>
    <xdr:pic>
      <xdr:nvPicPr>
        <xdr:cNvPr id="530" name="圖片 529" descr="畫面剪輯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305" y="157958155"/>
          <a:ext cx="1379220" cy="742950"/>
        </a:xfrm>
        <a:prstGeom prst="rect">
          <a:avLst/>
        </a:prstGeom>
      </xdr:spPr>
    </xdr:pic>
    <xdr:clientData/>
  </xdr:twoCellAnchor>
  <xdr:twoCellAnchor>
    <xdr:from>
      <xdr:col>6</xdr:col>
      <xdr:colOff>122464</xdr:colOff>
      <xdr:row>180</xdr:row>
      <xdr:rowOff>68036</xdr:rowOff>
    </xdr:from>
    <xdr:to>
      <xdr:col>6</xdr:col>
      <xdr:colOff>1589519</xdr:colOff>
      <xdr:row>180</xdr:row>
      <xdr:rowOff>849195</xdr:rowOff>
    </xdr:to>
    <xdr:pic>
      <xdr:nvPicPr>
        <xdr:cNvPr id="531" name="圖片 530" descr="畫面剪輯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720" y="171114085"/>
          <a:ext cx="1467485" cy="781050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419</xdr:row>
      <xdr:rowOff>54429</xdr:rowOff>
    </xdr:from>
    <xdr:to>
      <xdr:col>6</xdr:col>
      <xdr:colOff>1682053</xdr:colOff>
      <xdr:row>419</xdr:row>
      <xdr:rowOff>854641</xdr:rowOff>
    </xdr:to>
    <xdr:pic>
      <xdr:nvPicPr>
        <xdr:cNvPr id="532" name="圖片 531" descr="畫面剪輯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319520570"/>
          <a:ext cx="1433195" cy="800100"/>
        </a:xfrm>
        <a:prstGeom prst="rect">
          <a:avLst/>
        </a:prstGeom>
      </xdr:spPr>
    </xdr:pic>
    <xdr:clientData/>
  </xdr:twoCellAnchor>
  <xdr:twoCellAnchor>
    <xdr:from>
      <xdr:col>4</xdr:col>
      <xdr:colOff>108857</xdr:colOff>
      <xdr:row>245</xdr:row>
      <xdr:rowOff>231322</xdr:rowOff>
    </xdr:from>
    <xdr:to>
      <xdr:col>4</xdr:col>
      <xdr:colOff>1051832</xdr:colOff>
      <xdr:row>245</xdr:row>
      <xdr:rowOff>698047</xdr:rowOff>
    </xdr:to>
    <xdr:pic>
      <xdr:nvPicPr>
        <xdr:cNvPr id="533" name="圖片 10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50576" y="358966635"/>
          <a:ext cx="9429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163286</xdr:colOff>
      <xdr:row>326</xdr:row>
      <xdr:rowOff>122464</xdr:rowOff>
    </xdr:from>
    <xdr:to>
      <xdr:col>4</xdr:col>
      <xdr:colOff>925286</xdr:colOff>
      <xdr:row>326</xdr:row>
      <xdr:rowOff>884464</xdr:rowOff>
    </xdr:to>
    <xdr:pic>
      <xdr:nvPicPr>
        <xdr:cNvPr id="534" name="图片 533" descr="UNYR003CL.jpg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9726295" y="274828635"/>
          <a:ext cx="762000" cy="762000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327</xdr:row>
      <xdr:rowOff>149679</xdr:rowOff>
    </xdr:from>
    <xdr:to>
      <xdr:col>4</xdr:col>
      <xdr:colOff>1006928</xdr:colOff>
      <xdr:row>327</xdr:row>
      <xdr:rowOff>911679</xdr:rowOff>
    </xdr:to>
    <xdr:pic>
      <xdr:nvPicPr>
        <xdr:cNvPr id="535" name="图片 534" descr="UNYR003CL.jpg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9807575" y="275873210"/>
          <a:ext cx="762000" cy="762000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328</xdr:row>
      <xdr:rowOff>149679</xdr:rowOff>
    </xdr:from>
    <xdr:to>
      <xdr:col>4</xdr:col>
      <xdr:colOff>1006928</xdr:colOff>
      <xdr:row>328</xdr:row>
      <xdr:rowOff>911679</xdr:rowOff>
    </xdr:to>
    <xdr:pic>
      <xdr:nvPicPr>
        <xdr:cNvPr id="536" name="图片 535" descr="UNYR003CL.jpg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9807575" y="276890480"/>
          <a:ext cx="762000" cy="762000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329</xdr:row>
      <xdr:rowOff>149679</xdr:rowOff>
    </xdr:from>
    <xdr:to>
      <xdr:col>4</xdr:col>
      <xdr:colOff>1006928</xdr:colOff>
      <xdr:row>329</xdr:row>
      <xdr:rowOff>911679</xdr:rowOff>
    </xdr:to>
    <xdr:pic>
      <xdr:nvPicPr>
        <xdr:cNvPr id="537" name="图片 536" descr="UNYR003CL.jpg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9807575" y="277907750"/>
          <a:ext cx="762000" cy="762000"/>
        </a:xfrm>
        <a:prstGeom prst="rect">
          <a:avLst/>
        </a:prstGeom>
      </xdr:spPr>
    </xdr:pic>
    <xdr:clientData/>
  </xdr:twoCellAnchor>
  <xdr:twoCellAnchor>
    <xdr:from>
      <xdr:col>4</xdr:col>
      <xdr:colOff>204106</xdr:colOff>
      <xdr:row>322</xdr:row>
      <xdr:rowOff>122463</xdr:rowOff>
    </xdr:from>
    <xdr:to>
      <xdr:col>4</xdr:col>
      <xdr:colOff>1006929</xdr:colOff>
      <xdr:row>322</xdr:row>
      <xdr:rowOff>925286</xdr:rowOff>
    </xdr:to>
    <xdr:pic>
      <xdr:nvPicPr>
        <xdr:cNvPr id="543" name="图片 542" descr="UNYR003BLK.jpg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9766935" y="270759555"/>
          <a:ext cx="802640" cy="803275"/>
        </a:xfrm>
        <a:prstGeom prst="rect">
          <a:avLst/>
        </a:prstGeom>
      </xdr:spPr>
    </xdr:pic>
    <xdr:clientData/>
  </xdr:twoCellAnchor>
  <xdr:twoCellAnchor>
    <xdr:from>
      <xdr:col>4</xdr:col>
      <xdr:colOff>176893</xdr:colOff>
      <xdr:row>323</xdr:row>
      <xdr:rowOff>149679</xdr:rowOff>
    </xdr:from>
    <xdr:to>
      <xdr:col>4</xdr:col>
      <xdr:colOff>979716</xdr:colOff>
      <xdr:row>323</xdr:row>
      <xdr:rowOff>952502</xdr:rowOff>
    </xdr:to>
    <xdr:pic>
      <xdr:nvPicPr>
        <xdr:cNvPr id="544" name="图片 543" descr="UNYR003BLK.jpg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9739630" y="271804130"/>
          <a:ext cx="802640" cy="803275"/>
        </a:xfrm>
        <a:prstGeom prst="rect">
          <a:avLst/>
        </a:prstGeom>
      </xdr:spPr>
    </xdr:pic>
    <xdr:clientData/>
  </xdr:twoCellAnchor>
  <xdr:twoCellAnchor>
    <xdr:from>
      <xdr:col>4</xdr:col>
      <xdr:colOff>176893</xdr:colOff>
      <xdr:row>324</xdr:row>
      <xdr:rowOff>149679</xdr:rowOff>
    </xdr:from>
    <xdr:to>
      <xdr:col>4</xdr:col>
      <xdr:colOff>979716</xdr:colOff>
      <xdr:row>324</xdr:row>
      <xdr:rowOff>952502</xdr:rowOff>
    </xdr:to>
    <xdr:pic>
      <xdr:nvPicPr>
        <xdr:cNvPr id="545" name="图片 544" descr="UNYR003BLK.jpg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9739630" y="272821400"/>
          <a:ext cx="802640" cy="803275"/>
        </a:xfrm>
        <a:prstGeom prst="rect">
          <a:avLst/>
        </a:prstGeom>
      </xdr:spPr>
    </xdr:pic>
    <xdr:clientData/>
  </xdr:twoCellAnchor>
  <xdr:twoCellAnchor>
    <xdr:from>
      <xdr:col>4</xdr:col>
      <xdr:colOff>176893</xdr:colOff>
      <xdr:row>325</xdr:row>
      <xdr:rowOff>149679</xdr:rowOff>
    </xdr:from>
    <xdr:to>
      <xdr:col>4</xdr:col>
      <xdr:colOff>979716</xdr:colOff>
      <xdr:row>325</xdr:row>
      <xdr:rowOff>952502</xdr:rowOff>
    </xdr:to>
    <xdr:pic>
      <xdr:nvPicPr>
        <xdr:cNvPr id="546" name="图片 545" descr="UNYR003BLK.jpg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9739630" y="273838670"/>
          <a:ext cx="802640" cy="803275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330</xdr:row>
      <xdr:rowOff>81643</xdr:rowOff>
    </xdr:from>
    <xdr:to>
      <xdr:col>4</xdr:col>
      <xdr:colOff>1006928</xdr:colOff>
      <xdr:row>330</xdr:row>
      <xdr:rowOff>898072</xdr:rowOff>
    </xdr:to>
    <xdr:pic>
      <xdr:nvPicPr>
        <xdr:cNvPr id="547" name="图片 546" descr="UNYR004BLK.jpg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9752965" y="278857075"/>
          <a:ext cx="816610" cy="816610"/>
        </a:xfrm>
        <a:prstGeom prst="rect">
          <a:avLst/>
        </a:prstGeom>
      </xdr:spPr>
    </xdr:pic>
    <xdr:clientData/>
  </xdr:twoCellAnchor>
  <xdr:twoCellAnchor>
    <xdr:from>
      <xdr:col>4</xdr:col>
      <xdr:colOff>136392</xdr:colOff>
      <xdr:row>334</xdr:row>
      <xdr:rowOff>95570</xdr:rowOff>
    </xdr:from>
    <xdr:to>
      <xdr:col>4</xdr:col>
      <xdr:colOff>938894</xdr:colOff>
      <xdr:row>334</xdr:row>
      <xdr:rowOff>898072</xdr:rowOff>
    </xdr:to>
    <xdr:pic>
      <xdr:nvPicPr>
        <xdr:cNvPr id="548" name="图片 547" descr="UNYR004CL.jpg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9698990" y="282940125"/>
          <a:ext cx="802640" cy="802640"/>
        </a:xfrm>
        <a:prstGeom prst="rect">
          <a:avLst/>
        </a:prstGeom>
      </xdr:spPr>
    </xdr:pic>
    <xdr:clientData/>
  </xdr:twoCellAnchor>
  <xdr:twoCellAnchor>
    <xdr:from>
      <xdr:col>4</xdr:col>
      <xdr:colOff>136072</xdr:colOff>
      <xdr:row>335</xdr:row>
      <xdr:rowOff>122465</xdr:rowOff>
    </xdr:from>
    <xdr:to>
      <xdr:col>4</xdr:col>
      <xdr:colOff>938574</xdr:colOff>
      <xdr:row>335</xdr:row>
      <xdr:rowOff>924967</xdr:rowOff>
    </xdr:to>
    <xdr:pic>
      <xdr:nvPicPr>
        <xdr:cNvPr id="549" name="图片 548" descr="UNYR004CL.jpg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9698990" y="283984065"/>
          <a:ext cx="802640" cy="802640"/>
        </a:xfrm>
        <a:prstGeom prst="rect">
          <a:avLst/>
        </a:prstGeom>
      </xdr:spPr>
    </xdr:pic>
    <xdr:clientData/>
  </xdr:twoCellAnchor>
  <xdr:twoCellAnchor>
    <xdr:from>
      <xdr:col>4</xdr:col>
      <xdr:colOff>136072</xdr:colOff>
      <xdr:row>336</xdr:row>
      <xdr:rowOff>122465</xdr:rowOff>
    </xdr:from>
    <xdr:to>
      <xdr:col>4</xdr:col>
      <xdr:colOff>938574</xdr:colOff>
      <xdr:row>336</xdr:row>
      <xdr:rowOff>924967</xdr:rowOff>
    </xdr:to>
    <xdr:pic>
      <xdr:nvPicPr>
        <xdr:cNvPr id="550" name="图片 549" descr="UNYR004CL.jpg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9698990" y="285001335"/>
          <a:ext cx="802640" cy="802640"/>
        </a:xfrm>
        <a:prstGeom prst="rect">
          <a:avLst/>
        </a:prstGeom>
      </xdr:spPr>
    </xdr:pic>
    <xdr:clientData/>
  </xdr:twoCellAnchor>
  <xdr:twoCellAnchor>
    <xdr:from>
      <xdr:col>4</xdr:col>
      <xdr:colOff>136072</xdr:colOff>
      <xdr:row>337</xdr:row>
      <xdr:rowOff>122465</xdr:rowOff>
    </xdr:from>
    <xdr:to>
      <xdr:col>4</xdr:col>
      <xdr:colOff>938574</xdr:colOff>
      <xdr:row>337</xdr:row>
      <xdr:rowOff>924967</xdr:rowOff>
    </xdr:to>
    <xdr:pic>
      <xdr:nvPicPr>
        <xdr:cNvPr id="551" name="图片 550" descr="UNYR004CL.jpg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9698990" y="286018605"/>
          <a:ext cx="802640" cy="802640"/>
        </a:xfrm>
        <a:prstGeom prst="rect">
          <a:avLst/>
        </a:prstGeom>
      </xdr:spPr>
    </xdr:pic>
    <xdr:clientData/>
  </xdr:twoCellAnchor>
  <xdr:twoCellAnchor>
    <xdr:from>
      <xdr:col>4</xdr:col>
      <xdr:colOff>122464</xdr:colOff>
      <xdr:row>331</xdr:row>
      <xdr:rowOff>81643</xdr:rowOff>
    </xdr:from>
    <xdr:to>
      <xdr:col>4</xdr:col>
      <xdr:colOff>938893</xdr:colOff>
      <xdr:row>331</xdr:row>
      <xdr:rowOff>898072</xdr:rowOff>
    </xdr:to>
    <xdr:pic>
      <xdr:nvPicPr>
        <xdr:cNvPr id="552" name="图片 551" descr="UNYR004BLK.jpg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9685020" y="279874345"/>
          <a:ext cx="816610" cy="816610"/>
        </a:xfrm>
        <a:prstGeom prst="rect">
          <a:avLst/>
        </a:prstGeom>
      </xdr:spPr>
    </xdr:pic>
    <xdr:clientData/>
  </xdr:twoCellAnchor>
  <xdr:twoCellAnchor>
    <xdr:from>
      <xdr:col>4</xdr:col>
      <xdr:colOff>122464</xdr:colOff>
      <xdr:row>332</xdr:row>
      <xdr:rowOff>81643</xdr:rowOff>
    </xdr:from>
    <xdr:to>
      <xdr:col>4</xdr:col>
      <xdr:colOff>938893</xdr:colOff>
      <xdr:row>332</xdr:row>
      <xdr:rowOff>898072</xdr:rowOff>
    </xdr:to>
    <xdr:pic>
      <xdr:nvPicPr>
        <xdr:cNvPr id="553" name="图片 552" descr="UNYR004BLK.jpg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9685020" y="280891615"/>
          <a:ext cx="816610" cy="816610"/>
        </a:xfrm>
        <a:prstGeom prst="rect">
          <a:avLst/>
        </a:prstGeom>
      </xdr:spPr>
    </xdr:pic>
    <xdr:clientData/>
  </xdr:twoCellAnchor>
  <xdr:twoCellAnchor>
    <xdr:from>
      <xdr:col>4</xdr:col>
      <xdr:colOff>122464</xdr:colOff>
      <xdr:row>333</xdr:row>
      <xdr:rowOff>81643</xdr:rowOff>
    </xdr:from>
    <xdr:to>
      <xdr:col>4</xdr:col>
      <xdr:colOff>938893</xdr:colOff>
      <xdr:row>333</xdr:row>
      <xdr:rowOff>898072</xdr:rowOff>
    </xdr:to>
    <xdr:pic>
      <xdr:nvPicPr>
        <xdr:cNvPr id="554" name="图片 553" descr="UNYR004BLK.jpg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9685020" y="281908885"/>
          <a:ext cx="816610" cy="816610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338</xdr:row>
      <xdr:rowOff>108858</xdr:rowOff>
    </xdr:from>
    <xdr:to>
      <xdr:col>4</xdr:col>
      <xdr:colOff>1020537</xdr:colOff>
      <xdr:row>338</xdr:row>
      <xdr:rowOff>898074</xdr:rowOff>
    </xdr:to>
    <xdr:pic>
      <xdr:nvPicPr>
        <xdr:cNvPr id="555" name="图片 554" descr="UNYR005BLK.jpg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9794240" y="287022540"/>
          <a:ext cx="789305" cy="789305"/>
        </a:xfrm>
        <a:prstGeom prst="rect">
          <a:avLst/>
        </a:prstGeom>
      </xdr:spPr>
    </xdr:pic>
    <xdr:clientData/>
  </xdr:twoCellAnchor>
  <xdr:twoCellAnchor>
    <xdr:from>
      <xdr:col>4</xdr:col>
      <xdr:colOff>163606</xdr:colOff>
      <xdr:row>341</xdr:row>
      <xdr:rowOff>95570</xdr:rowOff>
    </xdr:from>
    <xdr:to>
      <xdr:col>4</xdr:col>
      <xdr:colOff>979713</xdr:colOff>
      <xdr:row>341</xdr:row>
      <xdr:rowOff>911677</xdr:rowOff>
    </xdr:to>
    <xdr:pic>
      <xdr:nvPicPr>
        <xdr:cNvPr id="556" name="图片 555" descr="UNYR005CL.jpg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9726295" y="290061015"/>
          <a:ext cx="815975" cy="815975"/>
        </a:xfrm>
        <a:prstGeom prst="rect">
          <a:avLst/>
        </a:prstGeom>
      </xdr:spPr>
    </xdr:pic>
    <xdr:clientData/>
  </xdr:twoCellAnchor>
  <xdr:twoCellAnchor>
    <xdr:from>
      <xdr:col>4</xdr:col>
      <xdr:colOff>163286</xdr:colOff>
      <xdr:row>342</xdr:row>
      <xdr:rowOff>122465</xdr:rowOff>
    </xdr:from>
    <xdr:to>
      <xdr:col>4</xdr:col>
      <xdr:colOff>979393</xdr:colOff>
      <xdr:row>342</xdr:row>
      <xdr:rowOff>938572</xdr:rowOff>
    </xdr:to>
    <xdr:pic>
      <xdr:nvPicPr>
        <xdr:cNvPr id="557" name="图片 556" descr="UNYR005CL.jpg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9726295" y="291104955"/>
          <a:ext cx="815975" cy="816610"/>
        </a:xfrm>
        <a:prstGeom prst="rect">
          <a:avLst/>
        </a:prstGeom>
      </xdr:spPr>
    </xdr:pic>
    <xdr:clientData/>
  </xdr:twoCellAnchor>
  <xdr:twoCellAnchor>
    <xdr:from>
      <xdr:col>4</xdr:col>
      <xdr:colOff>163286</xdr:colOff>
      <xdr:row>343</xdr:row>
      <xdr:rowOff>122465</xdr:rowOff>
    </xdr:from>
    <xdr:to>
      <xdr:col>4</xdr:col>
      <xdr:colOff>979393</xdr:colOff>
      <xdr:row>343</xdr:row>
      <xdr:rowOff>938572</xdr:rowOff>
    </xdr:to>
    <xdr:pic>
      <xdr:nvPicPr>
        <xdr:cNvPr id="558" name="图片 557" descr="UNYR005CL.jpg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9726295" y="292122225"/>
          <a:ext cx="815975" cy="816610"/>
        </a:xfrm>
        <a:prstGeom prst="rect">
          <a:avLst/>
        </a:prstGeom>
      </xdr:spPr>
    </xdr:pic>
    <xdr:clientData/>
  </xdr:twoCellAnchor>
  <xdr:twoCellAnchor>
    <xdr:from>
      <xdr:col>4</xdr:col>
      <xdr:colOff>163286</xdr:colOff>
      <xdr:row>344</xdr:row>
      <xdr:rowOff>122465</xdr:rowOff>
    </xdr:from>
    <xdr:to>
      <xdr:col>4</xdr:col>
      <xdr:colOff>979393</xdr:colOff>
      <xdr:row>344</xdr:row>
      <xdr:rowOff>938572</xdr:rowOff>
    </xdr:to>
    <xdr:pic>
      <xdr:nvPicPr>
        <xdr:cNvPr id="559" name="图片 558" descr="UNYR005CL.jpg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9726295" y="293139495"/>
          <a:ext cx="815975" cy="816610"/>
        </a:xfrm>
        <a:prstGeom prst="rect">
          <a:avLst/>
        </a:prstGeom>
      </xdr:spPr>
    </xdr:pic>
    <xdr:clientData/>
  </xdr:twoCellAnchor>
  <xdr:twoCellAnchor>
    <xdr:from>
      <xdr:col>4</xdr:col>
      <xdr:colOff>204107</xdr:colOff>
      <xdr:row>450</xdr:row>
      <xdr:rowOff>81644</xdr:rowOff>
    </xdr:from>
    <xdr:to>
      <xdr:col>4</xdr:col>
      <xdr:colOff>993323</xdr:colOff>
      <xdr:row>450</xdr:row>
      <xdr:rowOff>870860</xdr:rowOff>
    </xdr:to>
    <xdr:pic>
      <xdr:nvPicPr>
        <xdr:cNvPr id="560" name="图片 559" descr="UNYR005BLK.jpg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9766935" y="382746250"/>
          <a:ext cx="789305" cy="789305"/>
        </a:xfrm>
        <a:prstGeom prst="rect">
          <a:avLst/>
        </a:prstGeom>
      </xdr:spPr>
    </xdr:pic>
    <xdr:clientData/>
  </xdr:twoCellAnchor>
  <xdr:twoCellAnchor>
    <xdr:from>
      <xdr:col>4</xdr:col>
      <xdr:colOff>204107</xdr:colOff>
      <xdr:row>339</xdr:row>
      <xdr:rowOff>81644</xdr:rowOff>
    </xdr:from>
    <xdr:to>
      <xdr:col>4</xdr:col>
      <xdr:colOff>993323</xdr:colOff>
      <xdr:row>339</xdr:row>
      <xdr:rowOff>870860</xdr:rowOff>
    </xdr:to>
    <xdr:pic>
      <xdr:nvPicPr>
        <xdr:cNvPr id="561" name="图片 560" descr="UNYR005BLK.jpg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9766935" y="288012505"/>
          <a:ext cx="789305" cy="789305"/>
        </a:xfrm>
        <a:prstGeom prst="rect">
          <a:avLst/>
        </a:prstGeom>
      </xdr:spPr>
    </xdr:pic>
    <xdr:clientData/>
  </xdr:twoCellAnchor>
  <xdr:twoCellAnchor>
    <xdr:from>
      <xdr:col>4</xdr:col>
      <xdr:colOff>204107</xdr:colOff>
      <xdr:row>340</xdr:row>
      <xdr:rowOff>81644</xdr:rowOff>
    </xdr:from>
    <xdr:to>
      <xdr:col>4</xdr:col>
      <xdr:colOff>993323</xdr:colOff>
      <xdr:row>340</xdr:row>
      <xdr:rowOff>870860</xdr:rowOff>
    </xdr:to>
    <xdr:pic>
      <xdr:nvPicPr>
        <xdr:cNvPr id="562" name="图片 561" descr="UNYR005BLK.jpg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9766935" y="289029775"/>
          <a:ext cx="789305" cy="789305"/>
        </a:xfrm>
        <a:prstGeom prst="rect">
          <a:avLst/>
        </a:prstGeom>
      </xdr:spPr>
    </xdr:pic>
    <xdr:clientData/>
  </xdr:twoCellAnchor>
  <xdr:twoCellAnchor>
    <xdr:from>
      <xdr:col>4</xdr:col>
      <xdr:colOff>95249</xdr:colOff>
      <xdr:row>345</xdr:row>
      <xdr:rowOff>81642</xdr:rowOff>
    </xdr:from>
    <xdr:to>
      <xdr:col>4</xdr:col>
      <xdr:colOff>938892</xdr:colOff>
      <xdr:row>345</xdr:row>
      <xdr:rowOff>925285</xdr:rowOff>
    </xdr:to>
    <xdr:pic>
      <xdr:nvPicPr>
        <xdr:cNvPr id="563" name="图片 562" descr="UNYR006BLK.jpg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9657715" y="294116125"/>
          <a:ext cx="843915" cy="843915"/>
        </a:xfrm>
        <a:prstGeom prst="rect">
          <a:avLst/>
        </a:prstGeom>
      </xdr:spPr>
    </xdr:pic>
    <xdr:clientData/>
  </xdr:twoCellAnchor>
  <xdr:twoCellAnchor>
    <xdr:from>
      <xdr:col>4</xdr:col>
      <xdr:colOff>136392</xdr:colOff>
      <xdr:row>349</xdr:row>
      <xdr:rowOff>68355</xdr:rowOff>
    </xdr:from>
    <xdr:to>
      <xdr:col>4</xdr:col>
      <xdr:colOff>1034144</xdr:colOff>
      <xdr:row>349</xdr:row>
      <xdr:rowOff>966107</xdr:rowOff>
    </xdr:to>
    <xdr:pic>
      <xdr:nvPicPr>
        <xdr:cNvPr id="564" name="图片 563" descr="UNYR006CL.jpg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9698990" y="298171870"/>
          <a:ext cx="897890" cy="897890"/>
        </a:xfrm>
        <a:prstGeom prst="rect">
          <a:avLst/>
        </a:prstGeom>
      </xdr:spPr>
    </xdr:pic>
    <xdr:clientData/>
  </xdr:twoCellAnchor>
  <xdr:twoCellAnchor>
    <xdr:from>
      <xdr:col>4</xdr:col>
      <xdr:colOff>108857</xdr:colOff>
      <xdr:row>350</xdr:row>
      <xdr:rowOff>54429</xdr:rowOff>
    </xdr:from>
    <xdr:to>
      <xdr:col>4</xdr:col>
      <xdr:colOff>1006609</xdr:colOff>
      <xdr:row>350</xdr:row>
      <xdr:rowOff>952181</xdr:rowOff>
    </xdr:to>
    <xdr:pic>
      <xdr:nvPicPr>
        <xdr:cNvPr id="565" name="图片 564" descr="UNYR006CL.jpg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9671685" y="299175170"/>
          <a:ext cx="897890" cy="897890"/>
        </a:xfrm>
        <a:prstGeom prst="rect">
          <a:avLst/>
        </a:prstGeom>
      </xdr:spPr>
    </xdr:pic>
    <xdr:clientData/>
  </xdr:twoCellAnchor>
  <xdr:twoCellAnchor>
    <xdr:from>
      <xdr:col>4</xdr:col>
      <xdr:colOff>108857</xdr:colOff>
      <xdr:row>351</xdr:row>
      <xdr:rowOff>54429</xdr:rowOff>
    </xdr:from>
    <xdr:to>
      <xdr:col>4</xdr:col>
      <xdr:colOff>1006609</xdr:colOff>
      <xdr:row>351</xdr:row>
      <xdr:rowOff>952181</xdr:rowOff>
    </xdr:to>
    <xdr:pic>
      <xdr:nvPicPr>
        <xdr:cNvPr id="566" name="图片 565" descr="UNYR006CL.jpg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9671685" y="300192440"/>
          <a:ext cx="897890" cy="897890"/>
        </a:xfrm>
        <a:prstGeom prst="rect">
          <a:avLst/>
        </a:prstGeom>
      </xdr:spPr>
    </xdr:pic>
    <xdr:clientData/>
  </xdr:twoCellAnchor>
  <xdr:twoCellAnchor>
    <xdr:from>
      <xdr:col>4</xdr:col>
      <xdr:colOff>108857</xdr:colOff>
      <xdr:row>352</xdr:row>
      <xdr:rowOff>54429</xdr:rowOff>
    </xdr:from>
    <xdr:to>
      <xdr:col>4</xdr:col>
      <xdr:colOff>1006609</xdr:colOff>
      <xdr:row>352</xdr:row>
      <xdr:rowOff>952181</xdr:rowOff>
    </xdr:to>
    <xdr:pic>
      <xdr:nvPicPr>
        <xdr:cNvPr id="567" name="图片 566" descr="UNYR006CL.jpg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9671685" y="301209710"/>
          <a:ext cx="897890" cy="897890"/>
        </a:xfrm>
        <a:prstGeom prst="rect">
          <a:avLst/>
        </a:prstGeom>
      </xdr:spPr>
    </xdr:pic>
    <xdr:clientData/>
  </xdr:twoCellAnchor>
  <xdr:twoCellAnchor>
    <xdr:from>
      <xdr:col>4</xdr:col>
      <xdr:colOff>149679</xdr:colOff>
      <xdr:row>346</xdr:row>
      <xdr:rowOff>95250</xdr:rowOff>
    </xdr:from>
    <xdr:to>
      <xdr:col>4</xdr:col>
      <xdr:colOff>993322</xdr:colOff>
      <xdr:row>346</xdr:row>
      <xdr:rowOff>938893</xdr:rowOff>
    </xdr:to>
    <xdr:pic>
      <xdr:nvPicPr>
        <xdr:cNvPr id="568" name="图片 567" descr="UNYR006BLK.jpg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9712325" y="295147365"/>
          <a:ext cx="843915" cy="843280"/>
        </a:xfrm>
        <a:prstGeom prst="rect">
          <a:avLst/>
        </a:prstGeom>
      </xdr:spPr>
    </xdr:pic>
    <xdr:clientData/>
  </xdr:twoCellAnchor>
  <xdr:twoCellAnchor>
    <xdr:from>
      <xdr:col>4</xdr:col>
      <xdr:colOff>149679</xdr:colOff>
      <xdr:row>347</xdr:row>
      <xdr:rowOff>95250</xdr:rowOff>
    </xdr:from>
    <xdr:to>
      <xdr:col>4</xdr:col>
      <xdr:colOff>993322</xdr:colOff>
      <xdr:row>347</xdr:row>
      <xdr:rowOff>938893</xdr:rowOff>
    </xdr:to>
    <xdr:pic>
      <xdr:nvPicPr>
        <xdr:cNvPr id="569" name="图片 568" descr="UNYR006BLK.jpg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9712325" y="296164635"/>
          <a:ext cx="843915" cy="843280"/>
        </a:xfrm>
        <a:prstGeom prst="rect">
          <a:avLst/>
        </a:prstGeom>
      </xdr:spPr>
    </xdr:pic>
    <xdr:clientData/>
  </xdr:twoCellAnchor>
  <xdr:twoCellAnchor>
    <xdr:from>
      <xdr:col>4</xdr:col>
      <xdr:colOff>149679</xdr:colOff>
      <xdr:row>348</xdr:row>
      <xdr:rowOff>95250</xdr:rowOff>
    </xdr:from>
    <xdr:to>
      <xdr:col>4</xdr:col>
      <xdr:colOff>993322</xdr:colOff>
      <xdr:row>348</xdr:row>
      <xdr:rowOff>938893</xdr:rowOff>
    </xdr:to>
    <xdr:pic>
      <xdr:nvPicPr>
        <xdr:cNvPr id="570" name="图片 569" descr="UNYR006BLK.jpg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9712325" y="297181905"/>
          <a:ext cx="843915" cy="843280"/>
        </a:xfrm>
        <a:prstGeom prst="rect">
          <a:avLst/>
        </a:prstGeom>
      </xdr:spPr>
    </xdr:pic>
    <xdr:clientData/>
  </xdr:twoCellAnchor>
  <xdr:twoCellAnchor>
    <xdr:from>
      <xdr:col>6</xdr:col>
      <xdr:colOff>204108</xdr:colOff>
      <xdr:row>322</xdr:row>
      <xdr:rowOff>108857</xdr:rowOff>
    </xdr:from>
    <xdr:to>
      <xdr:col>6</xdr:col>
      <xdr:colOff>1660072</xdr:colOff>
      <xdr:row>322</xdr:row>
      <xdr:rowOff>890631</xdr:rowOff>
    </xdr:to>
    <xdr:pic>
      <xdr:nvPicPr>
        <xdr:cNvPr id="538" name="圖片 537" descr="畫面剪輯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635" y="270746220"/>
          <a:ext cx="1405890" cy="781685"/>
        </a:xfrm>
        <a:prstGeom prst="rect">
          <a:avLst/>
        </a:prstGeom>
      </xdr:spPr>
    </xdr:pic>
    <xdr:clientData/>
  </xdr:twoCellAnchor>
  <xdr:twoCellAnchor>
    <xdr:from>
      <xdr:col>6</xdr:col>
      <xdr:colOff>149678</xdr:colOff>
      <xdr:row>323</xdr:row>
      <xdr:rowOff>95251</xdr:rowOff>
    </xdr:from>
    <xdr:to>
      <xdr:col>6</xdr:col>
      <xdr:colOff>1597680</xdr:colOff>
      <xdr:row>323</xdr:row>
      <xdr:rowOff>866884</xdr:rowOff>
    </xdr:to>
    <xdr:pic>
      <xdr:nvPicPr>
        <xdr:cNvPr id="539" name="圖片 538" descr="畫面剪輯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025" y="271750155"/>
          <a:ext cx="1448435" cy="771525"/>
        </a:xfrm>
        <a:prstGeom prst="rect">
          <a:avLst/>
        </a:prstGeom>
      </xdr:spPr>
    </xdr:pic>
    <xdr:clientData/>
  </xdr:twoCellAnchor>
  <xdr:twoCellAnchor>
    <xdr:from>
      <xdr:col>6</xdr:col>
      <xdr:colOff>204107</xdr:colOff>
      <xdr:row>324</xdr:row>
      <xdr:rowOff>108857</xdr:rowOff>
    </xdr:from>
    <xdr:to>
      <xdr:col>6</xdr:col>
      <xdr:colOff>1718794</xdr:colOff>
      <xdr:row>324</xdr:row>
      <xdr:rowOff>899542</xdr:rowOff>
    </xdr:to>
    <xdr:pic>
      <xdr:nvPicPr>
        <xdr:cNvPr id="540" name="圖片 539" descr="畫面剪輯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635" y="272780760"/>
          <a:ext cx="1405890" cy="790575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325</xdr:row>
      <xdr:rowOff>95250</xdr:rowOff>
    </xdr:from>
    <xdr:to>
      <xdr:col>6</xdr:col>
      <xdr:colOff>1653474</xdr:colOff>
      <xdr:row>325</xdr:row>
      <xdr:rowOff>819251</xdr:rowOff>
    </xdr:to>
    <xdr:pic>
      <xdr:nvPicPr>
        <xdr:cNvPr id="541" name="圖片 540" descr="畫面剪輯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273784695"/>
          <a:ext cx="1433195" cy="723900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326</xdr:row>
      <xdr:rowOff>122465</xdr:rowOff>
    </xdr:from>
    <xdr:to>
      <xdr:col>6</xdr:col>
      <xdr:colOff>1603127</xdr:colOff>
      <xdr:row>326</xdr:row>
      <xdr:rowOff>951256</xdr:rowOff>
    </xdr:to>
    <xdr:pic>
      <xdr:nvPicPr>
        <xdr:cNvPr id="542" name="圖片 541" descr="畫面剪輯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690" y="274828635"/>
          <a:ext cx="1466850" cy="829310"/>
        </a:xfrm>
        <a:prstGeom prst="rect">
          <a:avLst/>
        </a:prstGeom>
      </xdr:spPr>
    </xdr:pic>
    <xdr:clientData/>
  </xdr:twoCellAnchor>
  <xdr:twoCellAnchor>
    <xdr:from>
      <xdr:col>6</xdr:col>
      <xdr:colOff>122464</xdr:colOff>
      <xdr:row>327</xdr:row>
      <xdr:rowOff>95250</xdr:rowOff>
    </xdr:from>
    <xdr:to>
      <xdr:col>6</xdr:col>
      <xdr:colOff>1665729</xdr:colOff>
      <xdr:row>327</xdr:row>
      <xdr:rowOff>828777</xdr:rowOff>
    </xdr:to>
    <xdr:pic>
      <xdr:nvPicPr>
        <xdr:cNvPr id="571" name="圖片 570" descr="畫面剪輯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720" y="275819235"/>
          <a:ext cx="1487805" cy="733425"/>
        </a:xfrm>
        <a:prstGeom prst="rect">
          <a:avLst/>
        </a:prstGeom>
      </xdr:spPr>
    </xdr:pic>
    <xdr:clientData/>
  </xdr:twoCellAnchor>
  <xdr:twoCellAnchor>
    <xdr:from>
      <xdr:col>6</xdr:col>
      <xdr:colOff>163285</xdr:colOff>
      <xdr:row>328</xdr:row>
      <xdr:rowOff>68036</xdr:rowOff>
    </xdr:from>
    <xdr:to>
      <xdr:col>6</xdr:col>
      <xdr:colOff>1668445</xdr:colOff>
      <xdr:row>328</xdr:row>
      <xdr:rowOff>849195</xdr:rowOff>
    </xdr:to>
    <xdr:pic>
      <xdr:nvPicPr>
        <xdr:cNvPr id="572" name="圖片 571" descr="畫面剪輯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76809200"/>
          <a:ext cx="1446530" cy="78105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329</xdr:row>
      <xdr:rowOff>149678</xdr:rowOff>
    </xdr:from>
    <xdr:to>
      <xdr:col>6</xdr:col>
      <xdr:colOff>1600410</xdr:colOff>
      <xdr:row>329</xdr:row>
      <xdr:rowOff>921311</xdr:rowOff>
    </xdr:to>
    <xdr:pic>
      <xdr:nvPicPr>
        <xdr:cNvPr id="573" name="圖片 572" descr="畫面剪輯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277907750"/>
          <a:ext cx="1504950" cy="771525"/>
        </a:xfrm>
        <a:prstGeom prst="rect">
          <a:avLst/>
        </a:prstGeom>
      </xdr:spPr>
    </xdr:pic>
    <xdr:clientData/>
  </xdr:twoCellAnchor>
  <xdr:twoCellAnchor>
    <xdr:from>
      <xdr:col>6</xdr:col>
      <xdr:colOff>149678</xdr:colOff>
      <xdr:row>330</xdr:row>
      <xdr:rowOff>136071</xdr:rowOff>
    </xdr:from>
    <xdr:to>
      <xdr:col>6</xdr:col>
      <xdr:colOff>1588154</xdr:colOff>
      <xdr:row>330</xdr:row>
      <xdr:rowOff>879125</xdr:rowOff>
    </xdr:to>
    <xdr:pic>
      <xdr:nvPicPr>
        <xdr:cNvPr id="574" name="圖片 573" descr="畫面剪輯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025" y="278911685"/>
          <a:ext cx="1438910" cy="742950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331</xdr:row>
      <xdr:rowOff>122464</xdr:rowOff>
    </xdr:from>
    <xdr:to>
      <xdr:col>6</xdr:col>
      <xdr:colOff>1653474</xdr:colOff>
      <xdr:row>331</xdr:row>
      <xdr:rowOff>913149</xdr:rowOff>
    </xdr:to>
    <xdr:pic>
      <xdr:nvPicPr>
        <xdr:cNvPr id="575" name="圖片 574" descr="畫面剪輯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279914985"/>
          <a:ext cx="1433195" cy="79121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332</xdr:row>
      <xdr:rowOff>122464</xdr:rowOff>
    </xdr:from>
    <xdr:to>
      <xdr:col>6</xdr:col>
      <xdr:colOff>1657555</xdr:colOff>
      <xdr:row>332</xdr:row>
      <xdr:rowOff>903623</xdr:rowOff>
    </xdr:to>
    <xdr:pic>
      <xdr:nvPicPr>
        <xdr:cNvPr id="576" name="圖片 575" descr="畫面剪輯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280932255"/>
          <a:ext cx="1419225" cy="781685"/>
        </a:xfrm>
        <a:prstGeom prst="rect">
          <a:avLst/>
        </a:prstGeom>
      </xdr:spPr>
    </xdr:pic>
    <xdr:clientData/>
  </xdr:twoCellAnchor>
  <xdr:twoCellAnchor>
    <xdr:from>
      <xdr:col>6</xdr:col>
      <xdr:colOff>231321</xdr:colOff>
      <xdr:row>333</xdr:row>
      <xdr:rowOff>122464</xdr:rowOff>
    </xdr:from>
    <xdr:to>
      <xdr:col>6</xdr:col>
      <xdr:colOff>1660271</xdr:colOff>
      <xdr:row>333</xdr:row>
      <xdr:rowOff>875044</xdr:rowOff>
    </xdr:to>
    <xdr:pic>
      <xdr:nvPicPr>
        <xdr:cNvPr id="577" name="圖片 576" descr="畫面剪輯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940" y="281949525"/>
          <a:ext cx="1378585" cy="75311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334</xdr:row>
      <xdr:rowOff>176893</xdr:rowOff>
    </xdr:from>
    <xdr:to>
      <xdr:col>6</xdr:col>
      <xdr:colOff>1601762</xdr:colOff>
      <xdr:row>334</xdr:row>
      <xdr:rowOff>900894</xdr:rowOff>
    </xdr:to>
    <xdr:pic>
      <xdr:nvPicPr>
        <xdr:cNvPr id="578" name="圖片 577" descr="畫面剪輯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83021405"/>
          <a:ext cx="1438275" cy="723900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335</xdr:row>
      <xdr:rowOff>122464</xdr:rowOff>
    </xdr:from>
    <xdr:to>
      <xdr:col>6</xdr:col>
      <xdr:colOff>1574548</xdr:colOff>
      <xdr:row>335</xdr:row>
      <xdr:rowOff>836939</xdr:rowOff>
    </xdr:to>
    <xdr:pic>
      <xdr:nvPicPr>
        <xdr:cNvPr id="579" name="圖片 578" descr="畫面剪輯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690" y="283984065"/>
          <a:ext cx="1438275" cy="71501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336</xdr:row>
      <xdr:rowOff>68036</xdr:rowOff>
    </xdr:from>
    <xdr:to>
      <xdr:col>6</xdr:col>
      <xdr:colOff>1601762</xdr:colOff>
      <xdr:row>336</xdr:row>
      <xdr:rowOff>830142</xdr:rowOff>
    </xdr:to>
    <xdr:pic>
      <xdr:nvPicPr>
        <xdr:cNvPr id="580" name="圖片 579" descr="畫面剪輯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84947360"/>
          <a:ext cx="1438275" cy="762000"/>
        </a:xfrm>
        <a:prstGeom prst="rect">
          <a:avLst/>
        </a:prstGeom>
      </xdr:spPr>
    </xdr:pic>
    <xdr:clientData/>
  </xdr:twoCellAnchor>
  <xdr:twoCellAnchor>
    <xdr:from>
      <xdr:col>6</xdr:col>
      <xdr:colOff>204107</xdr:colOff>
      <xdr:row>337</xdr:row>
      <xdr:rowOff>176893</xdr:rowOff>
    </xdr:from>
    <xdr:to>
      <xdr:col>6</xdr:col>
      <xdr:colOff>1671162</xdr:colOff>
      <xdr:row>337</xdr:row>
      <xdr:rowOff>929473</xdr:rowOff>
    </xdr:to>
    <xdr:pic>
      <xdr:nvPicPr>
        <xdr:cNvPr id="581" name="圖片 580" descr="畫面剪輯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635" y="286073215"/>
          <a:ext cx="1405890" cy="752475"/>
        </a:xfrm>
        <a:prstGeom prst="rect">
          <a:avLst/>
        </a:prstGeom>
      </xdr:spPr>
    </xdr:pic>
    <xdr:clientData/>
  </xdr:twoCellAnchor>
  <xdr:twoCellAnchor>
    <xdr:from>
      <xdr:col>6</xdr:col>
      <xdr:colOff>95249</xdr:colOff>
      <xdr:row>338</xdr:row>
      <xdr:rowOff>149679</xdr:rowOff>
    </xdr:from>
    <xdr:to>
      <xdr:col>6</xdr:col>
      <xdr:colOff>1590883</xdr:colOff>
      <xdr:row>338</xdr:row>
      <xdr:rowOff>892733</xdr:rowOff>
    </xdr:to>
    <xdr:pic>
      <xdr:nvPicPr>
        <xdr:cNvPr id="582" name="圖片 581" descr="畫面剪輯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7415" y="287063180"/>
          <a:ext cx="1496060" cy="74295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450</xdr:row>
      <xdr:rowOff>163286</xdr:rowOff>
    </xdr:from>
    <xdr:to>
      <xdr:col>6</xdr:col>
      <xdr:colOff>1676608</xdr:colOff>
      <xdr:row>450</xdr:row>
      <xdr:rowOff>915866</xdr:rowOff>
    </xdr:to>
    <xdr:pic>
      <xdr:nvPicPr>
        <xdr:cNvPr id="583" name="圖片 582" descr="畫面剪輯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382828165"/>
          <a:ext cx="1419225" cy="752475"/>
        </a:xfrm>
        <a:prstGeom prst="rect">
          <a:avLst/>
        </a:prstGeom>
      </xdr:spPr>
    </xdr:pic>
    <xdr:clientData/>
  </xdr:twoCellAnchor>
  <xdr:twoCellAnchor>
    <xdr:from>
      <xdr:col>6</xdr:col>
      <xdr:colOff>204107</xdr:colOff>
      <xdr:row>339</xdr:row>
      <xdr:rowOff>68036</xdr:rowOff>
    </xdr:from>
    <xdr:to>
      <xdr:col>6</xdr:col>
      <xdr:colOff>1633057</xdr:colOff>
      <xdr:row>339</xdr:row>
      <xdr:rowOff>839669</xdr:rowOff>
    </xdr:to>
    <xdr:pic>
      <xdr:nvPicPr>
        <xdr:cNvPr id="584" name="圖片 583" descr="畫面剪輯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635" y="287999170"/>
          <a:ext cx="1405890" cy="771525"/>
        </a:xfrm>
        <a:prstGeom prst="rect">
          <a:avLst/>
        </a:prstGeom>
      </xdr:spPr>
    </xdr:pic>
    <xdr:clientData/>
  </xdr:twoCellAnchor>
  <xdr:twoCellAnchor>
    <xdr:from>
      <xdr:col>6</xdr:col>
      <xdr:colOff>217715</xdr:colOff>
      <xdr:row>340</xdr:row>
      <xdr:rowOff>149678</xdr:rowOff>
    </xdr:from>
    <xdr:to>
      <xdr:col>6</xdr:col>
      <xdr:colOff>1703823</xdr:colOff>
      <xdr:row>340</xdr:row>
      <xdr:rowOff>864153</xdr:rowOff>
    </xdr:to>
    <xdr:pic>
      <xdr:nvPicPr>
        <xdr:cNvPr id="585" name="圖片 584" descr="畫面剪輯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9970" y="289097720"/>
          <a:ext cx="1392555" cy="714375"/>
        </a:xfrm>
        <a:prstGeom prst="rect">
          <a:avLst/>
        </a:prstGeom>
      </xdr:spPr>
    </xdr:pic>
    <xdr:clientData/>
  </xdr:twoCellAnchor>
  <xdr:twoCellAnchor>
    <xdr:from>
      <xdr:col>6</xdr:col>
      <xdr:colOff>108858</xdr:colOff>
      <xdr:row>341</xdr:row>
      <xdr:rowOff>136072</xdr:rowOff>
    </xdr:from>
    <xdr:to>
      <xdr:col>6</xdr:col>
      <xdr:colOff>1547334</xdr:colOff>
      <xdr:row>341</xdr:row>
      <xdr:rowOff>898178</xdr:rowOff>
    </xdr:to>
    <xdr:pic>
      <xdr:nvPicPr>
        <xdr:cNvPr id="586" name="圖片 585" descr="畫面剪輯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1385" y="290101655"/>
          <a:ext cx="1438275" cy="762000"/>
        </a:xfrm>
        <a:prstGeom prst="rect">
          <a:avLst/>
        </a:prstGeom>
      </xdr:spPr>
    </xdr:pic>
    <xdr:clientData/>
  </xdr:twoCellAnchor>
  <xdr:twoCellAnchor>
    <xdr:from>
      <xdr:col>6</xdr:col>
      <xdr:colOff>163285</xdr:colOff>
      <xdr:row>342</xdr:row>
      <xdr:rowOff>122464</xdr:rowOff>
    </xdr:from>
    <xdr:to>
      <xdr:col>6</xdr:col>
      <xdr:colOff>1630340</xdr:colOff>
      <xdr:row>342</xdr:row>
      <xdr:rowOff>827412</xdr:rowOff>
    </xdr:to>
    <xdr:pic>
      <xdr:nvPicPr>
        <xdr:cNvPr id="587" name="圖片 586" descr="畫面剪輯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91104955"/>
          <a:ext cx="1446530" cy="70548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343</xdr:row>
      <xdr:rowOff>136071</xdr:rowOff>
    </xdr:from>
    <xdr:to>
      <xdr:col>6</xdr:col>
      <xdr:colOff>1667081</xdr:colOff>
      <xdr:row>343</xdr:row>
      <xdr:rowOff>907704</xdr:rowOff>
    </xdr:to>
    <xdr:pic>
      <xdr:nvPicPr>
        <xdr:cNvPr id="588" name="圖片 587" descr="畫面剪輯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292136195"/>
          <a:ext cx="1419225" cy="771525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344</xdr:row>
      <xdr:rowOff>190500</xdr:rowOff>
    </xdr:from>
    <xdr:to>
      <xdr:col>6</xdr:col>
      <xdr:colOff>1615369</xdr:colOff>
      <xdr:row>344</xdr:row>
      <xdr:rowOff>943080</xdr:rowOff>
    </xdr:to>
    <xdr:pic>
      <xdr:nvPicPr>
        <xdr:cNvPr id="589" name="圖片 588" descr="畫面剪輯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293208075"/>
          <a:ext cx="1433195" cy="752475"/>
        </a:xfrm>
        <a:prstGeom prst="rect">
          <a:avLst/>
        </a:prstGeom>
      </xdr:spPr>
    </xdr:pic>
    <xdr:clientData/>
  </xdr:twoCellAnchor>
  <xdr:twoCellAnchor>
    <xdr:from>
      <xdr:col>6</xdr:col>
      <xdr:colOff>163285</xdr:colOff>
      <xdr:row>345</xdr:row>
      <xdr:rowOff>136071</xdr:rowOff>
    </xdr:from>
    <xdr:to>
      <xdr:col>6</xdr:col>
      <xdr:colOff>1620814</xdr:colOff>
      <xdr:row>345</xdr:row>
      <xdr:rowOff>860072</xdr:rowOff>
    </xdr:to>
    <xdr:pic>
      <xdr:nvPicPr>
        <xdr:cNvPr id="590" name="圖片 589" descr="畫面剪輯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94170735"/>
          <a:ext cx="1446530" cy="7239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346</xdr:row>
      <xdr:rowOff>68036</xdr:rowOff>
    </xdr:from>
    <xdr:to>
      <xdr:col>6</xdr:col>
      <xdr:colOff>1620815</xdr:colOff>
      <xdr:row>346</xdr:row>
      <xdr:rowOff>782511</xdr:rowOff>
    </xdr:to>
    <xdr:pic>
      <xdr:nvPicPr>
        <xdr:cNvPr id="591" name="圖片 590" descr="畫面剪輯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95120060"/>
          <a:ext cx="1446530" cy="714375"/>
        </a:xfrm>
        <a:prstGeom prst="rect">
          <a:avLst/>
        </a:prstGeom>
      </xdr:spPr>
    </xdr:pic>
    <xdr:clientData/>
  </xdr:twoCellAnchor>
  <xdr:twoCellAnchor>
    <xdr:from>
      <xdr:col>6</xdr:col>
      <xdr:colOff>217715</xdr:colOff>
      <xdr:row>347</xdr:row>
      <xdr:rowOff>122464</xdr:rowOff>
    </xdr:from>
    <xdr:to>
      <xdr:col>6</xdr:col>
      <xdr:colOff>1656191</xdr:colOff>
      <xdr:row>347</xdr:row>
      <xdr:rowOff>855991</xdr:rowOff>
    </xdr:to>
    <xdr:pic>
      <xdr:nvPicPr>
        <xdr:cNvPr id="592" name="圖片 591" descr="畫面剪輯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9970" y="296191305"/>
          <a:ext cx="1392555" cy="734060"/>
        </a:xfrm>
        <a:prstGeom prst="rect">
          <a:avLst/>
        </a:prstGeom>
      </xdr:spPr>
    </xdr:pic>
    <xdr:clientData/>
  </xdr:twoCellAnchor>
  <xdr:twoCellAnchor>
    <xdr:from>
      <xdr:col>6</xdr:col>
      <xdr:colOff>122465</xdr:colOff>
      <xdr:row>348</xdr:row>
      <xdr:rowOff>136072</xdr:rowOff>
    </xdr:from>
    <xdr:to>
      <xdr:col>6</xdr:col>
      <xdr:colOff>1627625</xdr:colOff>
      <xdr:row>348</xdr:row>
      <xdr:rowOff>888652</xdr:rowOff>
    </xdr:to>
    <xdr:pic>
      <xdr:nvPicPr>
        <xdr:cNvPr id="593" name="圖片 592" descr="畫面剪輯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720" y="297222545"/>
          <a:ext cx="1487805" cy="752475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349</xdr:row>
      <xdr:rowOff>136071</xdr:rowOff>
    </xdr:from>
    <xdr:to>
      <xdr:col>6</xdr:col>
      <xdr:colOff>1601762</xdr:colOff>
      <xdr:row>349</xdr:row>
      <xdr:rowOff>850546</xdr:rowOff>
    </xdr:to>
    <xdr:pic>
      <xdr:nvPicPr>
        <xdr:cNvPr id="594" name="圖片 593" descr="畫面剪輯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98239815"/>
          <a:ext cx="1438275" cy="714375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350</xdr:row>
      <xdr:rowOff>122465</xdr:rowOff>
    </xdr:from>
    <xdr:to>
      <xdr:col>6</xdr:col>
      <xdr:colOff>1615369</xdr:colOff>
      <xdr:row>350</xdr:row>
      <xdr:rowOff>922677</xdr:rowOff>
    </xdr:to>
    <xdr:pic>
      <xdr:nvPicPr>
        <xdr:cNvPr id="595" name="圖片 594" descr="畫面剪輯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299243115"/>
          <a:ext cx="1433195" cy="800735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351</xdr:row>
      <xdr:rowOff>68035</xdr:rowOff>
    </xdr:from>
    <xdr:to>
      <xdr:col>6</xdr:col>
      <xdr:colOff>1642596</xdr:colOff>
      <xdr:row>351</xdr:row>
      <xdr:rowOff>849194</xdr:rowOff>
    </xdr:to>
    <xdr:pic>
      <xdr:nvPicPr>
        <xdr:cNvPr id="596" name="圖片 595" descr="畫面剪輯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1385" y="300206410"/>
          <a:ext cx="1501140" cy="78105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352</xdr:row>
      <xdr:rowOff>95250</xdr:rowOff>
    </xdr:from>
    <xdr:to>
      <xdr:col>6</xdr:col>
      <xdr:colOff>1630341</xdr:colOff>
      <xdr:row>352</xdr:row>
      <xdr:rowOff>866883</xdr:rowOff>
    </xdr:to>
    <xdr:pic>
      <xdr:nvPicPr>
        <xdr:cNvPr id="597" name="圖片 596" descr="畫面剪輯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301250985"/>
          <a:ext cx="1446530" cy="771525"/>
        </a:xfrm>
        <a:prstGeom prst="rect">
          <a:avLst/>
        </a:prstGeom>
      </xdr:spPr>
    </xdr:pic>
    <xdr:clientData/>
  </xdr:twoCellAnchor>
  <xdr:twoCellAnchor>
    <xdr:from>
      <xdr:col>4</xdr:col>
      <xdr:colOff>108857</xdr:colOff>
      <xdr:row>314</xdr:row>
      <xdr:rowOff>81643</xdr:rowOff>
    </xdr:from>
    <xdr:to>
      <xdr:col>4</xdr:col>
      <xdr:colOff>937532</xdr:colOff>
      <xdr:row>314</xdr:row>
      <xdr:rowOff>910318</xdr:rowOff>
    </xdr:to>
    <xdr:pic>
      <xdr:nvPicPr>
        <xdr:cNvPr id="598" name="圖片 17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1685" y="26258075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176893</xdr:colOff>
      <xdr:row>315</xdr:row>
      <xdr:rowOff>68036</xdr:rowOff>
    </xdr:from>
    <xdr:to>
      <xdr:col>4</xdr:col>
      <xdr:colOff>1005568</xdr:colOff>
      <xdr:row>315</xdr:row>
      <xdr:rowOff>896711</xdr:rowOff>
    </xdr:to>
    <xdr:pic>
      <xdr:nvPicPr>
        <xdr:cNvPr id="599" name="圖片 17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9630" y="26358469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316</xdr:row>
      <xdr:rowOff>122464</xdr:rowOff>
    </xdr:from>
    <xdr:to>
      <xdr:col>4</xdr:col>
      <xdr:colOff>1019175</xdr:colOff>
      <xdr:row>316</xdr:row>
      <xdr:rowOff>951139</xdr:rowOff>
    </xdr:to>
    <xdr:pic>
      <xdr:nvPicPr>
        <xdr:cNvPr id="600" name="圖片 17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264655935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318</xdr:row>
      <xdr:rowOff>108857</xdr:rowOff>
    </xdr:from>
    <xdr:to>
      <xdr:col>4</xdr:col>
      <xdr:colOff>1009650</xdr:colOff>
      <xdr:row>318</xdr:row>
      <xdr:rowOff>928007</xdr:rowOff>
    </xdr:to>
    <xdr:pic>
      <xdr:nvPicPr>
        <xdr:cNvPr id="601" name="圖片 13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26667714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319</xdr:row>
      <xdr:rowOff>108857</xdr:rowOff>
    </xdr:from>
    <xdr:to>
      <xdr:col>4</xdr:col>
      <xdr:colOff>1009650</xdr:colOff>
      <xdr:row>319</xdr:row>
      <xdr:rowOff>928007</xdr:rowOff>
    </xdr:to>
    <xdr:pic>
      <xdr:nvPicPr>
        <xdr:cNvPr id="602" name="圖片 13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26769441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320</xdr:row>
      <xdr:rowOff>108857</xdr:rowOff>
    </xdr:from>
    <xdr:to>
      <xdr:col>4</xdr:col>
      <xdr:colOff>1009650</xdr:colOff>
      <xdr:row>320</xdr:row>
      <xdr:rowOff>928007</xdr:rowOff>
    </xdr:to>
    <xdr:pic>
      <xdr:nvPicPr>
        <xdr:cNvPr id="603" name="圖片 13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3600" y="26871168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176893</xdr:colOff>
      <xdr:row>314</xdr:row>
      <xdr:rowOff>122465</xdr:rowOff>
    </xdr:from>
    <xdr:to>
      <xdr:col>6</xdr:col>
      <xdr:colOff>1672527</xdr:colOff>
      <xdr:row>314</xdr:row>
      <xdr:rowOff>865519</xdr:rowOff>
    </xdr:to>
    <xdr:pic>
      <xdr:nvPicPr>
        <xdr:cNvPr id="604" name="圖片 603" descr="畫面剪輯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330" y="262621395"/>
          <a:ext cx="1433195" cy="743585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315</xdr:row>
      <xdr:rowOff>149679</xdr:rowOff>
    </xdr:from>
    <xdr:to>
      <xdr:col>6</xdr:col>
      <xdr:colOff>1582709</xdr:colOff>
      <xdr:row>315</xdr:row>
      <xdr:rowOff>873680</xdr:rowOff>
    </xdr:to>
    <xdr:pic>
      <xdr:nvPicPr>
        <xdr:cNvPr id="605" name="圖片 604" descr="畫面剪輯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95" y="263665970"/>
          <a:ext cx="1419225" cy="723900"/>
        </a:xfrm>
        <a:prstGeom prst="rect">
          <a:avLst/>
        </a:prstGeom>
      </xdr:spPr>
    </xdr:pic>
    <xdr:clientData/>
  </xdr:twoCellAnchor>
  <xdr:twoCellAnchor>
    <xdr:from>
      <xdr:col>6</xdr:col>
      <xdr:colOff>149679</xdr:colOff>
      <xdr:row>316</xdr:row>
      <xdr:rowOff>68036</xdr:rowOff>
    </xdr:from>
    <xdr:to>
      <xdr:col>6</xdr:col>
      <xdr:colOff>1559576</xdr:colOff>
      <xdr:row>316</xdr:row>
      <xdr:rowOff>792037</xdr:rowOff>
    </xdr:to>
    <xdr:pic>
      <xdr:nvPicPr>
        <xdr:cNvPr id="606" name="圖片 605" descr="畫面剪輯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025" y="264601960"/>
          <a:ext cx="1410335" cy="7239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318</xdr:row>
      <xdr:rowOff>136072</xdr:rowOff>
    </xdr:from>
    <xdr:to>
      <xdr:col>6</xdr:col>
      <xdr:colOff>1667081</xdr:colOff>
      <xdr:row>318</xdr:row>
      <xdr:rowOff>879126</xdr:rowOff>
    </xdr:to>
    <xdr:pic>
      <xdr:nvPicPr>
        <xdr:cNvPr id="607" name="圖片 606" descr="畫面剪輯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266704445"/>
          <a:ext cx="1419225" cy="742950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319</xdr:row>
      <xdr:rowOff>176893</xdr:rowOff>
    </xdr:from>
    <xdr:to>
      <xdr:col>6</xdr:col>
      <xdr:colOff>1612653</xdr:colOff>
      <xdr:row>319</xdr:row>
      <xdr:rowOff>929473</xdr:rowOff>
    </xdr:to>
    <xdr:pic>
      <xdr:nvPicPr>
        <xdr:cNvPr id="608" name="圖片 607" descr="畫面剪輯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690" y="267762355"/>
          <a:ext cx="1473835" cy="752475"/>
        </a:xfrm>
        <a:prstGeom prst="rect">
          <a:avLst/>
        </a:prstGeom>
      </xdr:spPr>
    </xdr:pic>
    <xdr:clientData/>
  </xdr:twoCellAnchor>
  <xdr:twoCellAnchor>
    <xdr:from>
      <xdr:col>6</xdr:col>
      <xdr:colOff>149679</xdr:colOff>
      <xdr:row>320</xdr:row>
      <xdr:rowOff>122465</xdr:rowOff>
    </xdr:from>
    <xdr:to>
      <xdr:col>6</xdr:col>
      <xdr:colOff>1635787</xdr:colOff>
      <xdr:row>320</xdr:row>
      <xdr:rowOff>884571</xdr:rowOff>
    </xdr:to>
    <xdr:pic>
      <xdr:nvPicPr>
        <xdr:cNvPr id="609" name="圖片 608" descr="畫面剪輯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2025" y="268725015"/>
          <a:ext cx="1460500" cy="762635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309</xdr:row>
      <xdr:rowOff>81643</xdr:rowOff>
    </xdr:from>
    <xdr:to>
      <xdr:col>4</xdr:col>
      <xdr:colOff>921204</xdr:colOff>
      <xdr:row>309</xdr:row>
      <xdr:rowOff>881743</xdr:rowOff>
    </xdr:to>
    <xdr:pic>
      <xdr:nvPicPr>
        <xdr:cNvPr id="610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7575" y="25750202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244929</xdr:colOff>
      <xdr:row>310</xdr:row>
      <xdr:rowOff>81643</xdr:rowOff>
    </xdr:from>
    <xdr:to>
      <xdr:col>4</xdr:col>
      <xdr:colOff>921204</xdr:colOff>
      <xdr:row>310</xdr:row>
      <xdr:rowOff>881743</xdr:rowOff>
    </xdr:to>
    <xdr:pic>
      <xdr:nvPicPr>
        <xdr:cNvPr id="611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7575" y="25851167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244929</xdr:colOff>
      <xdr:row>313</xdr:row>
      <xdr:rowOff>81643</xdr:rowOff>
    </xdr:from>
    <xdr:to>
      <xdr:col>4</xdr:col>
      <xdr:colOff>921204</xdr:colOff>
      <xdr:row>313</xdr:row>
      <xdr:rowOff>881743</xdr:rowOff>
    </xdr:to>
    <xdr:pic>
      <xdr:nvPicPr>
        <xdr:cNvPr id="612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7575" y="26156348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244929</xdr:colOff>
      <xdr:row>312</xdr:row>
      <xdr:rowOff>81643</xdr:rowOff>
    </xdr:from>
    <xdr:to>
      <xdr:col>4</xdr:col>
      <xdr:colOff>921204</xdr:colOff>
      <xdr:row>312</xdr:row>
      <xdr:rowOff>881743</xdr:rowOff>
    </xdr:to>
    <xdr:pic>
      <xdr:nvPicPr>
        <xdr:cNvPr id="613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7575" y="26054621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244929</xdr:colOff>
      <xdr:row>311</xdr:row>
      <xdr:rowOff>81643</xdr:rowOff>
    </xdr:from>
    <xdr:to>
      <xdr:col>4</xdr:col>
      <xdr:colOff>921204</xdr:colOff>
      <xdr:row>311</xdr:row>
      <xdr:rowOff>881743</xdr:rowOff>
    </xdr:to>
    <xdr:pic>
      <xdr:nvPicPr>
        <xdr:cNvPr id="614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7575" y="25952894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122464</xdr:colOff>
      <xdr:row>309</xdr:row>
      <xdr:rowOff>40247</xdr:rowOff>
    </xdr:from>
    <xdr:to>
      <xdr:col>6</xdr:col>
      <xdr:colOff>1808452</xdr:colOff>
      <xdr:row>309</xdr:row>
      <xdr:rowOff>921312</xdr:rowOff>
    </xdr:to>
    <xdr:pic>
      <xdr:nvPicPr>
        <xdr:cNvPr id="615" name="圖片 614" descr="畫面剪輯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720" y="257460750"/>
          <a:ext cx="1487805" cy="880745"/>
        </a:xfrm>
        <a:prstGeom prst="rect">
          <a:avLst/>
        </a:prstGeom>
      </xdr:spPr>
    </xdr:pic>
    <xdr:clientData/>
  </xdr:twoCellAnchor>
  <xdr:twoCellAnchor>
    <xdr:from>
      <xdr:col>6</xdr:col>
      <xdr:colOff>122464</xdr:colOff>
      <xdr:row>310</xdr:row>
      <xdr:rowOff>81643</xdr:rowOff>
    </xdr:from>
    <xdr:to>
      <xdr:col>6</xdr:col>
      <xdr:colOff>1589519</xdr:colOff>
      <xdr:row>310</xdr:row>
      <xdr:rowOff>862802</xdr:rowOff>
    </xdr:to>
    <xdr:pic>
      <xdr:nvPicPr>
        <xdr:cNvPr id="616" name="圖片 615" descr="畫面剪輯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720" y="258511675"/>
          <a:ext cx="1467485" cy="781050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313</xdr:row>
      <xdr:rowOff>122465</xdr:rowOff>
    </xdr:from>
    <xdr:to>
      <xdr:col>6</xdr:col>
      <xdr:colOff>1547333</xdr:colOff>
      <xdr:row>313</xdr:row>
      <xdr:rowOff>846466</xdr:rowOff>
    </xdr:to>
    <xdr:pic>
      <xdr:nvPicPr>
        <xdr:cNvPr id="617" name="圖片 616" descr="畫面剪輯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1385" y="261604125"/>
          <a:ext cx="1438275" cy="724535"/>
        </a:xfrm>
        <a:prstGeom prst="rect">
          <a:avLst/>
        </a:prstGeom>
      </xdr:spPr>
    </xdr:pic>
    <xdr:clientData/>
  </xdr:twoCellAnchor>
  <xdr:twoCellAnchor>
    <xdr:from>
      <xdr:col>6</xdr:col>
      <xdr:colOff>122464</xdr:colOff>
      <xdr:row>312</xdr:row>
      <xdr:rowOff>149678</xdr:rowOff>
    </xdr:from>
    <xdr:to>
      <xdr:col>6</xdr:col>
      <xdr:colOff>1618098</xdr:colOff>
      <xdr:row>312</xdr:row>
      <xdr:rowOff>892732</xdr:rowOff>
    </xdr:to>
    <xdr:pic>
      <xdr:nvPicPr>
        <xdr:cNvPr id="618" name="圖片 617" descr="畫面剪輯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720" y="260614160"/>
          <a:ext cx="1487805" cy="742950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311</xdr:row>
      <xdr:rowOff>68036</xdr:rowOff>
    </xdr:from>
    <xdr:to>
      <xdr:col>6</xdr:col>
      <xdr:colOff>1593600</xdr:colOff>
      <xdr:row>311</xdr:row>
      <xdr:rowOff>868248</xdr:rowOff>
    </xdr:to>
    <xdr:pic>
      <xdr:nvPicPr>
        <xdr:cNvPr id="619" name="圖片 618" descr="畫面剪輯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690" y="259515610"/>
          <a:ext cx="1457325" cy="800100"/>
        </a:xfrm>
        <a:prstGeom prst="rect">
          <a:avLst/>
        </a:prstGeom>
      </xdr:spPr>
    </xdr:pic>
    <xdr:clientData/>
  </xdr:twoCellAnchor>
  <xdr:twoCellAnchor>
    <xdr:from>
      <xdr:col>4</xdr:col>
      <xdr:colOff>188232</xdr:colOff>
      <xdr:row>292</xdr:row>
      <xdr:rowOff>127000</xdr:rowOff>
    </xdr:from>
    <xdr:to>
      <xdr:col>4</xdr:col>
      <xdr:colOff>917180</xdr:colOff>
      <xdr:row>292</xdr:row>
      <xdr:rowOff>916215</xdr:rowOff>
    </xdr:to>
    <xdr:pic>
      <xdr:nvPicPr>
        <xdr:cNvPr id="35" name="圖片 34" descr="畫面剪輯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9951" y="249131336"/>
          <a:ext cx="728948" cy="789215"/>
        </a:xfrm>
        <a:prstGeom prst="rect">
          <a:avLst/>
        </a:prstGeom>
      </xdr:spPr>
    </xdr:pic>
    <xdr:clientData/>
  </xdr:twoCellAnchor>
  <xdr:twoCellAnchor>
    <xdr:from>
      <xdr:col>4</xdr:col>
      <xdr:colOff>122465</xdr:colOff>
      <xdr:row>284</xdr:row>
      <xdr:rowOff>95250</xdr:rowOff>
    </xdr:from>
    <xdr:to>
      <xdr:col>4</xdr:col>
      <xdr:colOff>1061357</xdr:colOff>
      <xdr:row>284</xdr:row>
      <xdr:rowOff>960881</xdr:rowOff>
    </xdr:to>
    <xdr:pic>
      <xdr:nvPicPr>
        <xdr:cNvPr id="183" name="圖片 182" descr="畫面剪輯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5020" y="245308755"/>
          <a:ext cx="939165" cy="865505"/>
        </a:xfrm>
        <a:prstGeom prst="rect">
          <a:avLst/>
        </a:prstGeom>
      </xdr:spPr>
    </xdr:pic>
    <xdr:clientData/>
  </xdr:twoCellAnchor>
  <xdr:twoCellAnchor>
    <xdr:from>
      <xdr:col>4</xdr:col>
      <xdr:colOff>231322</xdr:colOff>
      <xdr:row>285</xdr:row>
      <xdr:rowOff>122464</xdr:rowOff>
    </xdr:from>
    <xdr:to>
      <xdr:col>4</xdr:col>
      <xdr:colOff>1047750</xdr:colOff>
      <xdr:row>285</xdr:row>
      <xdr:rowOff>935440</xdr:rowOff>
    </xdr:to>
    <xdr:pic>
      <xdr:nvPicPr>
        <xdr:cNvPr id="190" name="圖片 189" descr="畫面剪輯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4240" y="246352695"/>
          <a:ext cx="816610" cy="813435"/>
        </a:xfrm>
        <a:prstGeom prst="rect">
          <a:avLst/>
        </a:prstGeom>
      </xdr:spPr>
    </xdr:pic>
    <xdr:clientData/>
  </xdr:twoCellAnchor>
  <xdr:twoCellAnchor>
    <xdr:from>
      <xdr:col>4</xdr:col>
      <xdr:colOff>231322</xdr:colOff>
      <xdr:row>283</xdr:row>
      <xdr:rowOff>68036</xdr:rowOff>
    </xdr:from>
    <xdr:to>
      <xdr:col>4</xdr:col>
      <xdr:colOff>1102179</xdr:colOff>
      <xdr:row>283</xdr:row>
      <xdr:rowOff>864294</xdr:rowOff>
    </xdr:to>
    <xdr:pic>
      <xdr:nvPicPr>
        <xdr:cNvPr id="205" name="圖片 204" descr="畫面剪輯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4240" y="244264180"/>
          <a:ext cx="870585" cy="796290"/>
        </a:xfrm>
        <a:prstGeom prst="rect">
          <a:avLst/>
        </a:prstGeom>
      </xdr:spPr>
    </xdr:pic>
    <xdr:clientData/>
  </xdr:twoCellAnchor>
  <xdr:twoCellAnchor>
    <xdr:from>
      <xdr:col>6</xdr:col>
      <xdr:colOff>244928</xdr:colOff>
      <xdr:row>283</xdr:row>
      <xdr:rowOff>68035</xdr:rowOff>
    </xdr:from>
    <xdr:to>
      <xdr:col>6</xdr:col>
      <xdr:colOff>1816772</xdr:colOff>
      <xdr:row>283</xdr:row>
      <xdr:rowOff>906352</xdr:rowOff>
    </xdr:to>
    <xdr:pic>
      <xdr:nvPicPr>
        <xdr:cNvPr id="206" name="圖片 205" descr="畫面剪輯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275" y="244264180"/>
          <a:ext cx="1365250" cy="838200"/>
        </a:xfrm>
        <a:prstGeom prst="rect">
          <a:avLst/>
        </a:prstGeom>
      </xdr:spPr>
    </xdr:pic>
    <xdr:clientData/>
  </xdr:twoCellAnchor>
  <xdr:twoCellAnchor>
    <xdr:from>
      <xdr:col>6</xdr:col>
      <xdr:colOff>285750</xdr:colOff>
      <xdr:row>284</xdr:row>
      <xdr:rowOff>95250</xdr:rowOff>
    </xdr:from>
    <xdr:to>
      <xdr:col>6</xdr:col>
      <xdr:colOff>1838542</xdr:colOff>
      <xdr:row>284</xdr:row>
      <xdr:rowOff>866883</xdr:rowOff>
    </xdr:to>
    <xdr:pic>
      <xdr:nvPicPr>
        <xdr:cNvPr id="207" name="圖片 206" descr="畫面剪輯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0" y="245308755"/>
          <a:ext cx="1323975" cy="771525"/>
        </a:xfrm>
        <a:prstGeom prst="rect">
          <a:avLst/>
        </a:prstGeom>
      </xdr:spPr>
    </xdr:pic>
    <xdr:clientData/>
  </xdr:twoCellAnchor>
  <xdr:twoCellAnchor>
    <xdr:from>
      <xdr:col>6</xdr:col>
      <xdr:colOff>285749</xdr:colOff>
      <xdr:row>285</xdr:row>
      <xdr:rowOff>81643</xdr:rowOff>
    </xdr:from>
    <xdr:to>
      <xdr:col>6</xdr:col>
      <xdr:colOff>1933804</xdr:colOff>
      <xdr:row>285</xdr:row>
      <xdr:rowOff>881855</xdr:rowOff>
    </xdr:to>
    <xdr:pic>
      <xdr:nvPicPr>
        <xdr:cNvPr id="620" name="圖片 619" descr="畫面剪輯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7915" y="246312055"/>
          <a:ext cx="1324610" cy="800100"/>
        </a:xfrm>
        <a:prstGeom prst="rect">
          <a:avLst/>
        </a:prstGeom>
      </xdr:spPr>
    </xdr:pic>
    <xdr:clientData/>
  </xdr:twoCellAnchor>
  <xdr:twoCellAnchor>
    <xdr:from>
      <xdr:col>6</xdr:col>
      <xdr:colOff>246578</xdr:colOff>
      <xdr:row>292</xdr:row>
      <xdr:rowOff>81643</xdr:rowOff>
    </xdr:from>
    <xdr:to>
      <xdr:col>6</xdr:col>
      <xdr:colOff>1761265</xdr:colOff>
      <xdr:row>292</xdr:row>
      <xdr:rowOff>824697</xdr:rowOff>
    </xdr:to>
    <xdr:pic>
      <xdr:nvPicPr>
        <xdr:cNvPr id="621" name="圖片 620" descr="畫面剪輯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9180" y="253432945"/>
          <a:ext cx="1363345" cy="742950"/>
        </a:xfrm>
        <a:prstGeom prst="rect">
          <a:avLst/>
        </a:prstGeom>
      </xdr:spPr>
    </xdr:pic>
    <xdr:clientData/>
  </xdr:twoCellAnchor>
  <xdr:twoCellAnchor>
    <xdr:from>
      <xdr:col>4</xdr:col>
      <xdr:colOff>360680</xdr:colOff>
      <xdr:row>213</xdr:row>
      <xdr:rowOff>76200</xdr:rowOff>
    </xdr:from>
    <xdr:to>
      <xdr:col>4</xdr:col>
      <xdr:colOff>829904</xdr:colOff>
      <xdr:row>213</xdr:row>
      <xdr:rowOff>906780</xdr:rowOff>
    </xdr:to>
    <xdr:pic>
      <xdr:nvPicPr>
        <xdr:cNvPr id="623" name="Picture 3388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23780" y="203674980"/>
          <a:ext cx="46863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254000</xdr:colOff>
      <xdr:row>213</xdr:row>
      <xdr:rowOff>139700</xdr:rowOff>
    </xdr:from>
    <xdr:to>
      <xdr:col>6</xdr:col>
      <xdr:colOff>1806792</xdr:colOff>
      <xdr:row>213</xdr:row>
      <xdr:rowOff>911333</xdr:rowOff>
    </xdr:to>
    <xdr:pic>
      <xdr:nvPicPr>
        <xdr:cNvPr id="625" name="圖片 624" descr="畫面剪輯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800" y="203738480"/>
          <a:ext cx="1355725" cy="771525"/>
        </a:xfrm>
        <a:prstGeom prst="rect">
          <a:avLst/>
        </a:prstGeom>
      </xdr:spPr>
    </xdr:pic>
    <xdr:clientData/>
  </xdr:twoCellAnchor>
  <xdr:twoCellAnchor>
    <xdr:from>
      <xdr:col>4</xdr:col>
      <xdr:colOff>317500</xdr:colOff>
      <xdr:row>286</xdr:row>
      <xdr:rowOff>88900</xdr:rowOff>
    </xdr:from>
    <xdr:to>
      <xdr:col>4</xdr:col>
      <xdr:colOff>1081325</xdr:colOff>
      <xdr:row>286</xdr:row>
      <xdr:rowOff>876300</xdr:rowOff>
    </xdr:to>
    <xdr:pic>
      <xdr:nvPicPr>
        <xdr:cNvPr id="626" name="Picture 3361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80600" y="247336945"/>
          <a:ext cx="76327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279400</xdr:colOff>
      <xdr:row>286</xdr:row>
      <xdr:rowOff>88900</xdr:rowOff>
    </xdr:from>
    <xdr:to>
      <xdr:col>6</xdr:col>
      <xdr:colOff>1870297</xdr:colOff>
      <xdr:row>286</xdr:row>
      <xdr:rowOff>965322</xdr:rowOff>
    </xdr:to>
    <xdr:pic>
      <xdr:nvPicPr>
        <xdr:cNvPr id="627" name="圖片 626" descr="畫面剪輯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2200" y="247336945"/>
          <a:ext cx="1330325" cy="876300"/>
        </a:xfrm>
        <a:prstGeom prst="rect">
          <a:avLst/>
        </a:prstGeom>
      </xdr:spPr>
    </xdr:pic>
    <xdr:clientData/>
  </xdr:twoCellAnchor>
  <xdr:twoCellAnchor>
    <xdr:from>
      <xdr:col>4</xdr:col>
      <xdr:colOff>165100</xdr:colOff>
      <xdr:row>294</xdr:row>
      <xdr:rowOff>96684</xdr:rowOff>
    </xdr:from>
    <xdr:to>
      <xdr:col>4</xdr:col>
      <xdr:colOff>1079500</xdr:colOff>
      <xdr:row>294</xdr:row>
      <xdr:rowOff>863600</xdr:rowOff>
    </xdr:to>
    <xdr:pic>
      <xdr:nvPicPr>
        <xdr:cNvPr id="628" name="Picture 3357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28200" y="255482725"/>
          <a:ext cx="914400" cy="767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294</xdr:row>
      <xdr:rowOff>101600</xdr:rowOff>
    </xdr:from>
    <xdr:to>
      <xdr:col>6</xdr:col>
      <xdr:colOff>1790913</xdr:colOff>
      <xdr:row>294</xdr:row>
      <xdr:rowOff>901812</xdr:rowOff>
    </xdr:to>
    <xdr:pic>
      <xdr:nvPicPr>
        <xdr:cNvPr id="630" name="圖片 629" descr="畫面剪輯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0" y="255487805"/>
          <a:ext cx="1343025" cy="800100"/>
        </a:xfrm>
        <a:prstGeom prst="rect">
          <a:avLst/>
        </a:prstGeom>
      </xdr:spPr>
    </xdr:pic>
    <xdr:clientData/>
  </xdr:twoCellAnchor>
  <xdr:twoCellAnchor>
    <xdr:from>
      <xdr:col>6</xdr:col>
      <xdr:colOff>169624</xdr:colOff>
      <xdr:row>86</xdr:row>
      <xdr:rowOff>78287</xdr:rowOff>
    </xdr:from>
    <xdr:to>
      <xdr:col>6</xdr:col>
      <xdr:colOff>169624</xdr:colOff>
      <xdr:row>124</xdr:row>
      <xdr:rowOff>636189</xdr:rowOff>
    </xdr:to>
    <xdr:pic>
      <xdr:nvPicPr>
        <xdr:cNvPr id="632" name="圖片 631" descr="畫面剪輯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2345" y="86690835"/>
          <a:ext cx="0" cy="3921379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297</xdr:row>
      <xdr:rowOff>79375</xdr:rowOff>
    </xdr:from>
    <xdr:to>
      <xdr:col>6</xdr:col>
      <xdr:colOff>1657562</xdr:colOff>
      <xdr:row>297</xdr:row>
      <xdr:rowOff>793850</xdr:rowOff>
    </xdr:to>
    <xdr:pic>
      <xdr:nvPicPr>
        <xdr:cNvPr id="633" name="圖片 632" descr="畫面剪輯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5" y="256482850"/>
          <a:ext cx="1466850" cy="714375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353</xdr:row>
      <xdr:rowOff>79375</xdr:rowOff>
    </xdr:from>
    <xdr:to>
      <xdr:col>6</xdr:col>
      <xdr:colOff>1740108</xdr:colOff>
      <xdr:row>353</xdr:row>
      <xdr:rowOff>803376</xdr:rowOff>
    </xdr:to>
    <xdr:pic>
      <xdr:nvPicPr>
        <xdr:cNvPr id="636" name="圖片 635" descr="畫面剪輯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800" y="302252380"/>
          <a:ext cx="1355725" cy="723900"/>
        </a:xfrm>
        <a:prstGeom prst="rect">
          <a:avLst/>
        </a:prstGeom>
      </xdr:spPr>
    </xdr:pic>
    <xdr:clientData/>
  </xdr:twoCellAnchor>
  <xdr:twoCellAnchor>
    <xdr:from>
      <xdr:col>6</xdr:col>
      <xdr:colOff>130585</xdr:colOff>
      <xdr:row>355</xdr:row>
      <xdr:rowOff>127512</xdr:rowOff>
    </xdr:from>
    <xdr:to>
      <xdr:col>6</xdr:col>
      <xdr:colOff>1502394</xdr:colOff>
      <xdr:row>355</xdr:row>
      <xdr:rowOff>851513</xdr:rowOff>
    </xdr:to>
    <xdr:pic>
      <xdr:nvPicPr>
        <xdr:cNvPr id="637" name="圖片 636" descr="畫面剪輯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9174" y="303421947"/>
          <a:ext cx="1371809" cy="724001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268</xdr:row>
      <xdr:rowOff>79375</xdr:rowOff>
    </xdr:from>
    <xdr:to>
      <xdr:col>6</xdr:col>
      <xdr:colOff>1721055</xdr:colOff>
      <xdr:row>268</xdr:row>
      <xdr:rowOff>812902</xdr:rowOff>
    </xdr:to>
    <xdr:pic>
      <xdr:nvPicPr>
        <xdr:cNvPr id="638" name="圖片 637" descr="畫面剪輯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800" y="234102910"/>
          <a:ext cx="1355725" cy="733425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321</xdr:row>
      <xdr:rowOff>79375</xdr:rowOff>
    </xdr:from>
    <xdr:to>
      <xdr:col>6</xdr:col>
      <xdr:colOff>1692483</xdr:colOff>
      <xdr:row>321</xdr:row>
      <xdr:rowOff>793850</xdr:rowOff>
    </xdr:to>
    <xdr:pic>
      <xdr:nvPicPr>
        <xdr:cNvPr id="640" name="圖片 639" descr="畫面剪輯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175" y="269699740"/>
          <a:ext cx="1403350" cy="714375"/>
        </a:xfrm>
        <a:prstGeom prst="rect">
          <a:avLst/>
        </a:prstGeom>
      </xdr:spPr>
    </xdr:pic>
    <xdr:clientData/>
  </xdr:twoCellAnchor>
  <xdr:twoCellAnchor>
    <xdr:from>
      <xdr:col>4</xdr:col>
      <xdr:colOff>206375</xdr:colOff>
      <xdr:row>214</xdr:row>
      <xdr:rowOff>63500</xdr:rowOff>
    </xdr:from>
    <xdr:to>
      <xdr:col>4</xdr:col>
      <xdr:colOff>936625</xdr:colOff>
      <xdr:row>214</xdr:row>
      <xdr:rowOff>987417</xdr:rowOff>
    </xdr:to>
    <xdr:pic>
      <xdr:nvPicPr>
        <xdr:cNvPr id="642" name="圖片 641" descr="畫面剪輯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8094" y="198555570"/>
          <a:ext cx="730250" cy="9239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212</xdr:row>
      <xdr:rowOff>130206</xdr:rowOff>
    </xdr:from>
    <xdr:to>
      <xdr:col>4</xdr:col>
      <xdr:colOff>857250</xdr:colOff>
      <xdr:row>212</xdr:row>
      <xdr:rowOff>1007745</xdr:rowOff>
    </xdr:to>
    <xdr:pic>
      <xdr:nvPicPr>
        <xdr:cNvPr id="643" name="圖片 642" descr="畫面剪輯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6344" y="196598214"/>
          <a:ext cx="682625" cy="877539"/>
        </a:xfrm>
        <a:prstGeom prst="rect">
          <a:avLst/>
        </a:prstGeom>
      </xdr:spPr>
    </xdr:pic>
    <xdr:clientData/>
  </xdr:twoCellAnchor>
  <xdr:twoCellAnchor>
    <xdr:from>
      <xdr:col>4</xdr:col>
      <xdr:colOff>206375</xdr:colOff>
      <xdr:row>211</xdr:row>
      <xdr:rowOff>63501</xdr:rowOff>
    </xdr:from>
    <xdr:to>
      <xdr:col>4</xdr:col>
      <xdr:colOff>968375</xdr:colOff>
      <xdr:row>211</xdr:row>
      <xdr:rowOff>1007745</xdr:rowOff>
    </xdr:to>
    <xdr:pic>
      <xdr:nvPicPr>
        <xdr:cNvPr id="644" name="圖片 643" descr="畫面剪輯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8094" y="195519478"/>
          <a:ext cx="762000" cy="944244"/>
        </a:xfrm>
        <a:prstGeom prst="rect">
          <a:avLst/>
        </a:prstGeom>
      </xdr:spPr>
    </xdr:pic>
    <xdr:clientData/>
  </xdr:twoCellAnchor>
  <xdr:twoCellAnchor>
    <xdr:from>
      <xdr:col>4</xdr:col>
      <xdr:colOff>158750</xdr:colOff>
      <xdr:row>263</xdr:row>
      <xdr:rowOff>174625</xdr:rowOff>
    </xdr:from>
    <xdr:to>
      <xdr:col>4</xdr:col>
      <xdr:colOff>857250</xdr:colOff>
      <xdr:row>263</xdr:row>
      <xdr:rowOff>954470</xdr:rowOff>
    </xdr:to>
    <xdr:pic>
      <xdr:nvPicPr>
        <xdr:cNvPr id="645" name="圖片 644" descr="畫面剪輯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1850" y="231146350"/>
          <a:ext cx="698500" cy="77978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215</xdr:row>
      <xdr:rowOff>111125</xdr:rowOff>
    </xdr:from>
    <xdr:to>
      <xdr:col>4</xdr:col>
      <xdr:colOff>1031875</xdr:colOff>
      <xdr:row>215</xdr:row>
      <xdr:rowOff>1007745</xdr:rowOff>
    </xdr:to>
    <xdr:pic>
      <xdr:nvPicPr>
        <xdr:cNvPr id="646" name="圖片 645" descr="畫面剪輯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5955" y="216458511"/>
          <a:ext cx="841375" cy="896620"/>
        </a:xfrm>
        <a:prstGeom prst="rect">
          <a:avLst/>
        </a:prstGeom>
      </xdr:spPr>
    </xdr:pic>
    <xdr:clientData/>
  </xdr:twoCellAnchor>
  <xdr:twoCellAnchor>
    <xdr:from>
      <xdr:col>4</xdr:col>
      <xdr:colOff>342034</xdr:colOff>
      <xdr:row>216</xdr:row>
      <xdr:rowOff>24535</xdr:rowOff>
    </xdr:from>
    <xdr:to>
      <xdr:col>4</xdr:col>
      <xdr:colOff>1088159</xdr:colOff>
      <xdr:row>216</xdr:row>
      <xdr:rowOff>919018</xdr:rowOff>
    </xdr:to>
    <xdr:pic>
      <xdr:nvPicPr>
        <xdr:cNvPr id="647" name="圖片 646" descr="畫面剪輯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489" y="217382149"/>
          <a:ext cx="746125" cy="894483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217</xdr:row>
      <xdr:rowOff>79375</xdr:rowOff>
    </xdr:from>
    <xdr:to>
      <xdr:col>4</xdr:col>
      <xdr:colOff>984250</xdr:colOff>
      <xdr:row>217</xdr:row>
      <xdr:rowOff>941852</xdr:rowOff>
    </xdr:to>
    <xdr:pic>
      <xdr:nvPicPr>
        <xdr:cNvPr id="648" name="圖片 647" descr="畫面剪輯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205" y="218447216"/>
          <a:ext cx="698500" cy="862477"/>
        </a:xfrm>
        <a:prstGeom prst="rect">
          <a:avLst/>
        </a:prstGeom>
      </xdr:spPr>
    </xdr:pic>
    <xdr:clientData/>
  </xdr:twoCellAnchor>
  <xdr:twoCellAnchor>
    <xdr:from>
      <xdr:col>4</xdr:col>
      <xdr:colOff>190501</xdr:colOff>
      <xdr:row>151</xdr:row>
      <xdr:rowOff>95251</xdr:rowOff>
    </xdr:from>
    <xdr:to>
      <xdr:col>4</xdr:col>
      <xdr:colOff>873125</xdr:colOff>
      <xdr:row>151</xdr:row>
      <xdr:rowOff>898933</xdr:rowOff>
    </xdr:to>
    <xdr:pic>
      <xdr:nvPicPr>
        <xdr:cNvPr id="649" name="圖片 648" descr="畫面剪輯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142657830"/>
          <a:ext cx="682625" cy="803275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218</xdr:row>
      <xdr:rowOff>127000</xdr:rowOff>
    </xdr:from>
    <xdr:to>
      <xdr:col>4</xdr:col>
      <xdr:colOff>841375</xdr:colOff>
      <xdr:row>218</xdr:row>
      <xdr:rowOff>923290</xdr:rowOff>
    </xdr:to>
    <xdr:pic>
      <xdr:nvPicPr>
        <xdr:cNvPr id="650" name="圖片 649" descr="畫面剪輯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080" y="219505068"/>
          <a:ext cx="666750" cy="796290"/>
        </a:xfrm>
        <a:prstGeom prst="rect">
          <a:avLst/>
        </a:prstGeom>
      </xdr:spPr>
    </xdr:pic>
    <xdr:clientData/>
  </xdr:twoCellAnchor>
  <xdr:twoCellAnchor>
    <xdr:from>
      <xdr:col>6</xdr:col>
      <xdr:colOff>285750</xdr:colOff>
      <xdr:row>151</xdr:row>
      <xdr:rowOff>174625</xdr:rowOff>
    </xdr:from>
    <xdr:to>
      <xdr:col>6</xdr:col>
      <xdr:colOff>1771858</xdr:colOff>
      <xdr:row>151</xdr:row>
      <xdr:rowOff>917679</xdr:rowOff>
    </xdr:to>
    <xdr:pic>
      <xdr:nvPicPr>
        <xdr:cNvPr id="651" name="圖片 650" descr="畫面剪輯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0" y="142737205"/>
          <a:ext cx="1323975" cy="74295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211</xdr:row>
      <xdr:rowOff>142875</xdr:rowOff>
    </xdr:from>
    <xdr:to>
      <xdr:col>6</xdr:col>
      <xdr:colOff>1695660</xdr:colOff>
      <xdr:row>211</xdr:row>
      <xdr:rowOff>876402</xdr:rowOff>
    </xdr:to>
    <xdr:pic>
      <xdr:nvPicPr>
        <xdr:cNvPr id="652" name="圖片 651" descr="畫面剪輯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201707115"/>
          <a:ext cx="1419225" cy="733425"/>
        </a:xfrm>
        <a:prstGeom prst="rect">
          <a:avLst/>
        </a:prstGeom>
      </xdr:spPr>
    </xdr:pic>
    <xdr:clientData/>
  </xdr:twoCellAnchor>
  <xdr:twoCellAnchor>
    <xdr:from>
      <xdr:col>6</xdr:col>
      <xdr:colOff>285750</xdr:colOff>
      <xdr:row>212</xdr:row>
      <xdr:rowOff>190500</xdr:rowOff>
    </xdr:from>
    <xdr:to>
      <xdr:col>6</xdr:col>
      <xdr:colOff>1895700</xdr:colOff>
      <xdr:row>212</xdr:row>
      <xdr:rowOff>990712</xdr:rowOff>
    </xdr:to>
    <xdr:pic>
      <xdr:nvPicPr>
        <xdr:cNvPr id="653" name="圖片 652" descr="畫面剪輯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0" y="202772010"/>
          <a:ext cx="1323975" cy="800100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214</xdr:row>
      <xdr:rowOff>206375</xdr:rowOff>
    </xdr:from>
    <xdr:to>
      <xdr:col>6</xdr:col>
      <xdr:colOff>1670265</xdr:colOff>
      <xdr:row>214</xdr:row>
      <xdr:rowOff>939902</xdr:rowOff>
    </xdr:to>
    <xdr:pic>
      <xdr:nvPicPr>
        <xdr:cNvPr id="654" name="圖片 653" descr="畫面剪輯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9800" y="204822425"/>
          <a:ext cx="1482725" cy="73342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215</xdr:row>
      <xdr:rowOff>79375</xdr:rowOff>
    </xdr:from>
    <xdr:to>
      <xdr:col>6</xdr:col>
      <xdr:colOff>1809976</xdr:colOff>
      <xdr:row>215</xdr:row>
      <xdr:rowOff>841481</xdr:rowOff>
    </xdr:to>
    <xdr:pic>
      <xdr:nvPicPr>
        <xdr:cNvPr id="655" name="圖片 654" descr="畫面剪輯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205712695"/>
          <a:ext cx="1419225" cy="762000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216</xdr:row>
      <xdr:rowOff>206375</xdr:rowOff>
    </xdr:from>
    <xdr:to>
      <xdr:col>6</xdr:col>
      <xdr:colOff>1711535</xdr:colOff>
      <xdr:row>216</xdr:row>
      <xdr:rowOff>1017270</xdr:rowOff>
    </xdr:to>
    <xdr:pic>
      <xdr:nvPicPr>
        <xdr:cNvPr id="656" name="圖片 655" descr="畫面剪輯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175" y="206856965"/>
          <a:ext cx="1403350" cy="810895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217</xdr:row>
      <xdr:rowOff>190500</xdr:rowOff>
    </xdr:from>
    <xdr:to>
      <xdr:col>6</xdr:col>
      <xdr:colOff>1768693</xdr:colOff>
      <xdr:row>217</xdr:row>
      <xdr:rowOff>971659</xdr:rowOff>
    </xdr:to>
    <xdr:pic>
      <xdr:nvPicPr>
        <xdr:cNvPr id="657" name="圖片 656" descr="畫面剪輯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175" y="207858360"/>
          <a:ext cx="1403350" cy="78105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218</xdr:row>
      <xdr:rowOff>127000</xdr:rowOff>
    </xdr:from>
    <xdr:to>
      <xdr:col>6</xdr:col>
      <xdr:colOff>1743292</xdr:colOff>
      <xdr:row>218</xdr:row>
      <xdr:rowOff>908159</xdr:rowOff>
    </xdr:to>
    <xdr:pic>
      <xdr:nvPicPr>
        <xdr:cNvPr id="658" name="圖片 657" descr="畫面剪輯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208812130"/>
          <a:ext cx="1419225" cy="78105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263</xdr:row>
      <xdr:rowOff>142875</xdr:rowOff>
    </xdr:from>
    <xdr:to>
      <xdr:col>6</xdr:col>
      <xdr:colOff>1768706</xdr:colOff>
      <xdr:row>263</xdr:row>
      <xdr:rowOff>924034</xdr:rowOff>
    </xdr:to>
    <xdr:pic>
      <xdr:nvPicPr>
        <xdr:cNvPr id="659" name="圖片 658" descr="畫面剪輯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925" y="231114600"/>
          <a:ext cx="1498600" cy="781050"/>
        </a:xfrm>
        <a:prstGeom prst="rect">
          <a:avLst/>
        </a:prstGeom>
      </xdr:spPr>
    </xdr:pic>
    <xdr:clientData/>
  </xdr:twoCellAnchor>
  <xdr:twoCellAnchor>
    <xdr:from>
      <xdr:col>4</xdr:col>
      <xdr:colOff>269875</xdr:colOff>
      <xdr:row>264</xdr:row>
      <xdr:rowOff>79374</xdr:rowOff>
    </xdr:from>
    <xdr:to>
      <xdr:col>4</xdr:col>
      <xdr:colOff>968375</xdr:colOff>
      <xdr:row>264</xdr:row>
      <xdr:rowOff>1017270</xdr:rowOff>
    </xdr:to>
    <xdr:pic>
      <xdr:nvPicPr>
        <xdr:cNvPr id="39" name="圖片 38" descr="畫面剪輯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975" y="232067735"/>
          <a:ext cx="698500" cy="938530"/>
        </a:xfrm>
        <a:prstGeom prst="rect">
          <a:avLst/>
        </a:prstGeom>
      </xdr:spPr>
    </xdr:pic>
    <xdr:clientData/>
  </xdr:twoCellAnchor>
  <xdr:twoCellAnchor>
    <xdr:from>
      <xdr:col>4</xdr:col>
      <xdr:colOff>317501</xdr:colOff>
      <xdr:row>265</xdr:row>
      <xdr:rowOff>127000</xdr:rowOff>
    </xdr:from>
    <xdr:to>
      <xdr:col>4</xdr:col>
      <xdr:colOff>1000125</xdr:colOff>
      <xdr:row>265</xdr:row>
      <xdr:rowOff>1017270</xdr:rowOff>
    </xdr:to>
    <xdr:pic>
      <xdr:nvPicPr>
        <xdr:cNvPr id="42" name="圖片 41" descr="畫面剪輯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600" y="233133265"/>
          <a:ext cx="682625" cy="890270"/>
        </a:xfrm>
        <a:prstGeom prst="rect">
          <a:avLst/>
        </a:prstGeom>
      </xdr:spPr>
    </xdr:pic>
    <xdr:clientData/>
  </xdr:twoCellAnchor>
  <xdr:twoCellAnchor>
    <xdr:from>
      <xdr:col>4</xdr:col>
      <xdr:colOff>261215</xdr:colOff>
      <xdr:row>219</xdr:row>
      <xdr:rowOff>38966</xdr:rowOff>
    </xdr:from>
    <xdr:to>
      <xdr:col>4</xdr:col>
      <xdr:colOff>1067968</xdr:colOff>
      <xdr:row>219</xdr:row>
      <xdr:rowOff>849861</xdr:rowOff>
    </xdr:to>
    <xdr:pic>
      <xdr:nvPicPr>
        <xdr:cNvPr id="51" name="圖片 50" descr="畫面剪輯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670" y="220427261"/>
          <a:ext cx="806753" cy="81089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165</xdr:row>
      <xdr:rowOff>95251</xdr:rowOff>
    </xdr:from>
    <xdr:to>
      <xdr:col>4</xdr:col>
      <xdr:colOff>956469</xdr:colOff>
      <xdr:row>165</xdr:row>
      <xdr:rowOff>920751</xdr:rowOff>
    </xdr:to>
    <xdr:pic>
      <xdr:nvPicPr>
        <xdr:cNvPr id="63" name="圖片 62" descr="畫面剪輯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152830530"/>
          <a:ext cx="718185" cy="825500"/>
        </a:xfrm>
        <a:prstGeom prst="rect">
          <a:avLst/>
        </a:prstGeom>
      </xdr:spPr>
    </xdr:pic>
    <xdr:clientData/>
  </xdr:twoCellAnchor>
  <xdr:twoCellAnchor>
    <xdr:from>
      <xdr:col>6</xdr:col>
      <xdr:colOff>222250</xdr:colOff>
      <xdr:row>165</xdr:row>
      <xdr:rowOff>142875</xdr:rowOff>
    </xdr:from>
    <xdr:to>
      <xdr:col>6</xdr:col>
      <xdr:colOff>1948656</xdr:colOff>
      <xdr:row>165</xdr:row>
      <xdr:rowOff>1000125</xdr:rowOff>
    </xdr:to>
    <xdr:pic>
      <xdr:nvPicPr>
        <xdr:cNvPr id="104" name="圖片 103" descr="畫面剪輯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152878155"/>
          <a:ext cx="1387475" cy="857250"/>
        </a:xfrm>
        <a:prstGeom prst="rect">
          <a:avLst/>
        </a:prstGeom>
      </xdr:spPr>
    </xdr:pic>
    <xdr:clientData/>
  </xdr:twoCellAnchor>
  <xdr:twoCellAnchor>
    <xdr:from>
      <xdr:col>6</xdr:col>
      <xdr:colOff>79375</xdr:colOff>
      <xdr:row>219</xdr:row>
      <xdr:rowOff>127000</xdr:rowOff>
    </xdr:from>
    <xdr:to>
      <xdr:col>6</xdr:col>
      <xdr:colOff>2056180</xdr:colOff>
      <xdr:row>219</xdr:row>
      <xdr:rowOff>1017270</xdr:rowOff>
    </xdr:to>
    <xdr:pic>
      <xdr:nvPicPr>
        <xdr:cNvPr id="116" name="圖片 115" descr="畫面剪輯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175" y="209829400"/>
          <a:ext cx="1530350" cy="89027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264</xdr:row>
      <xdr:rowOff>95250</xdr:rowOff>
    </xdr:from>
    <xdr:to>
      <xdr:col>6</xdr:col>
      <xdr:colOff>2002711</xdr:colOff>
      <xdr:row>264</xdr:row>
      <xdr:rowOff>1017270</xdr:rowOff>
    </xdr:to>
    <xdr:pic>
      <xdr:nvPicPr>
        <xdr:cNvPr id="199" name="圖片 198" descr="畫面剪輯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925" y="232084245"/>
          <a:ext cx="1498600" cy="922020"/>
        </a:xfrm>
        <a:prstGeom prst="rect">
          <a:avLst/>
        </a:prstGeom>
      </xdr:spPr>
    </xdr:pic>
    <xdr:clientData/>
  </xdr:twoCellAnchor>
  <xdr:twoCellAnchor>
    <xdr:from>
      <xdr:col>6</xdr:col>
      <xdr:colOff>142876</xdr:colOff>
      <xdr:row>265</xdr:row>
      <xdr:rowOff>111124</xdr:rowOff>
    </xdr:from>
    <xdr:to>
      <xdr:col>6</xdr:col>
      <xdr:colOff>2079626</xdr:colOff>
      <xdr:row>265</xdr:row>
      <xdr:rowOff>980685</xdr:rowOff>
    </xdr:to>
    <xdr:pic>
      <xdr:nvPicPr>
        <xdr:cNvPr id="202" name="圖片 201" descr="畫面剪輯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5" y="233116755"/>
          <a:ext cx="1466850" cy="86995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288</xdr:row>
      <xdr:rowOff>95250</xdr:rowOff>
    </xdr:from>
    <xdr:to>
      <xdr:col>4</xdr:col>
      <xdr:colOff>1127125</xdr:colOff>
      <xdr:row>288</xdr:row>
      <xdr:rowOff>1017270</xdr:rowOff>
    </xdr:to>
    <xdr:pic>
      <xdr:nvPicPr>
        <xdr:cNvPr id="300" name="圖片 299" descr="畫面剪輯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6600" y="249377835"/>
          <a:ext cx="1063625" cy="922020"/>
        </a:xfrm>
        <a:prstGeom prst="rect">
          <a:avLst/>
        </a:prstGeom>
      </xdr:spPr>
    </xdr:pic>
    <xdr:clientData/>
  </xdr:twoCellAnchor>
  <xdr:twoCellAnchor>
    <xdr:from>
      <xdr:col>4</xdr:col>
      <xdr:colOff>158750</xdr:colOff>
      <xdr:row>289</xdr:row>
      <xdr:rowOff>174626</xdr:rowOff>
    </xdr:from>
    <xdr:to>
      <xdr:col>4</xdr:col>
      <xdr:colOff>1111250</xdr:colOff>
      <xdr:row>289</xdr:row>
      <xdr:rowOff>1017270</xdr:rowOff>
    </xdr:to>
    <xdr:pic>
      <xdr:nvPicPr>
        <xdr:cNvPr id="329" name="圖片 328" descr="畫面剪輯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1850" y="250474480"/>
          <a:ext cx="952500" cy="84264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290</xdr:row>
      <xdr:rowOff>142876</xdr:rowOff>
    </xdr:from>
    <xdr:to>
      <xdr:col>4</xdr:col>
      <xdr:colOff>1079499</xdr:colOff>
      <xdr:row>290</xdr:row>
      <xdr:rowOff>968836</xdr:rowOff>
    </xdr:to>
    <xdr:pic>
      <xdr:nvPicPr>
        <xdr:cNvPr id="450" name="圖片 449" descr="畫面剪輯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0100" y="251460000"/>
          <a:ext cx="951865" cy="825500"/>
        </a:xfrm>
        <a:prstGeom prst="rect">
          <a:avLst/>
        </a:prstGeom>
      </xdr:spPr>
    </xdr:pic>
    <xdr:clientData/>
  </xdr:twoCellAnchor>
  <xdr:twoCellAnchor>
    <xdr:from>
      <xdr:col>4</xdr:col>
      <xdr:colOff>213592</xdr:colOff>
      <xdr:row>221</xdr:row>
      <xdr:rowOff>54841</xdr:rowOff>
    </xdr:from>
    <xdr:to>
      <xdr:col>4</xdr:col>
      <xdr:colOff>953601</xdr:colOff>
      <xdr:row>221</xdr:row>
      <xdr:rowOff>927966</xdr:rowOff>
    </xdr:to>
    <xdr:pic>
      <xdr:nvPicPr>
        <xdr:cNvPr id="1024" name="圖片 1023" descr="畫面剪輯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5311" y="205631130"/>
          <a:ext cx="740009" cy="873125"/>
        </a:xfrm>
        <a:prstGeom prst="rect">
          <a:avLst/>
        </a:prstGeom>
      </xdr:spPr>
    </xdr:pic>
    <xdr:clientData/>
  </xdr:twoCellAnchor>
  <xdr:twoCellAnchor>
    <xdr:from>
      <xdr:col>4</xdr:col>
      <xdr:colOff>174626</xdr:colOff>
      <xdr:row>222</xdr:row>
      <xdr:rowOff>126999</xdr:rowOff>
    </xdr:from>
    <xdr:to>
      <xdr:col>4</xdr:col>
      <xdr:colOff>952500</xdr:colOff>
      <xdr:row>222</xdr:row>
      <xdr:rowOff>1017270</xdr:rowOff>
    </xdr:to>
    <xdr:pic>
      <xdr:nvPicPr>
        <xdr:cNvPr id="1026" name="圖片 1025" descr="畫面剪輯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6345" y="369161218"/>
          <a:ext cx="777874" cy="890271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223</xdr:row>
      <xdr:rowOff>111125</xdr:rowOff>
    </xdr:from>
    <xdr:to>
      <xdr:col>4</xdr:col>
      <xdr:colOff>841375</xdr:colOff>
      <xdr:row>223</xdr:row>
      <xdr:rowOff>961371</xdr:rowOff>
    </xdr:to>
    <xdr:pic>
      <xdr:nvPicPr>
        <xdr:cNvPr id="1027" name="圖片 1026" descr="畫面剪輯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8719" y="206699445"/>
          <a:ext cx="714375" cy="850246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221</xdr:row>
      <xdr:rowOff>95250</xdr:rowOff>
    </xdr:from>
    <xdr:to>
      <xdr:col>6</xdr:col>
      <xdr:colOff>1857374</xdr:colOff>
      <xdr:row>221</xdr:row>
      <xdr:rowOff>960337</xdr:rowOff>
    </xdr:to>
    <xdr:pic>
      <xdr:nvPicPr>
        <xdr:cNvPr id="1030" name="圖片 1029" descr="畫面剪輯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665" y="211832190"/>
          <a:ext cx="1419860" cy="864870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223</xdr:row>
      <xdr:rowOff>158749</xdr:rowOff>
    </xdr:from>
    <xdr:to>
      <xdr:col>6</xdr:col>
      <xdr:colOff>2004671</xdr:colOff>
      <xdr:row>223</xdr:row>
      <xdr:rowOff>1017270</xdr:rowOff>
    </xdr:to>
    <xdr:pic>
      <xdr:nvPicPr>
        <xdr:cNvPr id="1032" name="圖片 1031" descr="畫面剪輯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175" y="212912325"/>
          <a:ext cx="1403350" cy="859155"/>
        </a:xfrm>
        <a:prstGeom prst="rect">
          <a:avLst/>
        </a:prstGeom>
      </xdr:spPr>
    </xdr:pic>
    <xdr:clientData/>
  </xdr:twoCellAnchor>
  <xdr:twoCellAnchor>
    <xdr:from>
      <xdr:col>6</xdr:col>
      <xdr:colOff>79376</xdr:colOff>
      <xdr:row>288</xdr:row>
      <xdr:rowOff>63500</xdr:rowOff>
    </xdr:from>
    <xdr:to>
      <xdr:col>6</xdr:col>
      <xdr:colOff>1793876</xdr:colOff>
      <xdr:row>288</xdr:row>
      <xdr:rowOff>998682</xdr:rowOff>
    </xdr:to>
    <xdr:pic>
      <xdr:nvPicPr>
        <xdr:cNvPr id="1033" name="圖片 1032" descr="畫面剪輯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175" y="249346085"/>
          <a:ext cx="1530350" cy="934720"/>
        </a:xfrm>
        <a:prstGeom prst="rect">
          <a:avLst/>
        </a:prstGeom>
      </xdr:spPr>
    </xdr:pic>
    <xdr:clientData/>
  </xdr:twoCellAnchor>
  <xdr:twoCellAnchor>
    <xdr:from>
      <xdr:col>6</xdr:col>
      <xdr:colOff>222250</xdr:colOff>
      <xdr:row>289</xdr:row>
      <xdr:rowOff>142874</xdr:rowOff>
    </xdr:from>
    <xdr:to>
      <xdr:col>6</xdr:col>
      <xdr:colOff>1934918</xdr:colOff>
      <xdr:row>289</xdr:row>
      <xdr:rowOff>1015999</xdr:rowOff>
    </xdr:to>
    <xdr:pic>
      <xdr:nvPicPr>
        <xdr:cNvPr id="1034" name="圖片 1033" descr="畫面剪輯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250442095"/>
          <a:ext cx="1387475" cy="87312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290</xdr:row>
      <xdr:rowOff>79375</xdr:rowOff>
    </xdr:from>
    <xdr:to>
      <xdr:col>6</xdr:col>
      <xdr:colOff>1920875</xdr:colOff>
      <xdr:row>290</xdr:row>
      <xdr:rowOff>1004043</xdr:rowOff>
    </xdr:to>
    <xdr:pic>
      <xdr:nvPicPr>
        <xdr:cNvPr id="1035" name="圖片 1034" descr="畫面剪輯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251396500"/>
          <a:ext cx="1514475" cy="924560"/>
        </a:xfrm>
        <a:prstGeom prst="rect">
          <a:avLst/>
        </a:prstGeom>
      </xdr:spPr>
    </xdr:pic>
    <xdr:clientData/>
  </xdr:twoCellAnchor>
  <xdr:twoCellAnchor>
    <xdr:from>
      <xdr:col>4</xdr:col>
      <xdr:colOff>288637</xdr:colOff>
      <xdr:row>224</xdr:row>
      <xdr:rowOff>202045</xdr:rowOff>
    </xdr:from>
    <xdr:to>
      <xdr:col>4</xdr:col>
      <xdr:colOff>981364</xdr:colOff>
      <xdr:row>224</xdr:row>
      <xdr:rowOff>1083878</xdr:rowOff>
    </xdr:to>
    <xdr:pic>
      <xdr:nvPicPr>
        <xdr:cNvPr id="1025" name="圖片 1024" descr="畫面剪輯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390" y="213973410"/>
          <a:ext cx="692785" cy="815340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225</xdr:row>
      <xdr:rowOff>72160</xdr:rowOff>
    </xdr:from>
    <xdr:to>
      <xdr:col>4</xdr:col>
      <xdr:colOff>923637</xdr:colOff>
      <xdr:row>225</xdr:row>
      <xdr:rowOff>973118</xdr:rowOff>
    </xdr:to>
    <xdr:pic>
      <xdr:nvPicPr>
        <xdr:cNvPr id="1036" name="圖片 1035" descr="畫面剪輯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2815" y="214860505"/>
          <a:ext cx="663575" cy="901065"/>
        </a:xfrm>
        <a:prstGeom prst="rect">
          <a:avLst/>
        </a:prstGeom>
      </xdr:spPr>
    </xdr:pic>
    <xdr:clientData/>
  </xdr:twoCellAnchor>
  <xdr:twoCellAnchor>
    <xdr:from>
      <xdr:col>4</xdr:col>
      <xdr:colOff>274204</xdr:colOff>
      <xdr:row>228</xdr:row>
      <xdr:rowOff>86591</xdr:rowOff>
    </xdr:from>
    <xdr:to>
      <xdr:col>4</xdr:col>
      <xdr:colOff>981363</xdr:colOff>
      <xdr:row>228</xdr:row>
      <xdr:rowOff>1070650</xdr:rowOff>
    </xdr:to>
    <xdr:pic>
      <xdr:nvPicPr>
        <xdr:cNvPr id="1037" name="圖片 1036" descr="畫面剪輯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785" y="216909650"/>
          <a:ext cx="707390" cy="930910"/>
        </a:xfrm>
        <a:prstGeom prst="rect">
          <a:avLst/>
        </a:prstGeom>
      </xdr:spPr>
    </xdr:pic>
    <xdr:clientData/>
  </xdr:twoCellAnchor>
  <xdr:twoCellAnchor>
    <xdr:from>
      <xdr:col>4</xdr:col>
      <xdr:colOff>274205</xdr:colOff>
      <xdr:row>229</xdr:row>
      <xdr:rowOff>86591</xdr:rowOff>
    </xdr:from>
    <xdr:to>
      <xdr:col>4</xdr:col>
      <xdr:colOff>966932</xdr:colOff>
      <xdr:row>229</xdr:row>
      <xdr:rowOff>1024659</xdr:rowOff>
    </xdr:to>
    <xdr:pic>
      <xdr:nvPicPr>
        <xdr:cNvPr id="1038" name="圖片 1037" descr="畫面剪輯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785" y="217926920"/>
          <a:ext cx="692785" cy="837565"/>
        </a:xfrm>
        <a:prstGeom prst="rect">
          <a:avLst/>
        </a:prstGeom>
      </xdr:spPr>
    </xdr:pic>
    <xdr:clientData/>
  </xdr:twoCellAnchor>
  <xdr:twoCellAnchor>
    <xdr:from>
      <xdr:col>4</xdr:col>
      <xdr:colOff>303069</xdr:colOff>
      <xdr:row>226</xdr:row>
      <xdr:rowOff>72160</xdr:rowOff>
    </xdr:from>
    <xdr:to>
      <xdr:col>4</xdr:col>
      <xdr:colOff>905765</xdr:colOff>
      <xdr:row>226</xdr:row>
      <xdr:rowOff>885423</xdr:rowOff>
    </xdr:to>
    <xdr:pic>
      <xdr:nvPicPr>
        <xdr:cNvPr id="1039" name="圖片 1038" descr="畫面剪輯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995" y="215877775"/>
          <a:ext cx="602615" cy="813435"/>
        </a:xfrm>
        <a:prstGeom prst="rect">
          <a:avLst/>
        </a:prstGeom>
      </xdr:spPr>
    </xdr:pic>
    <xdr:clientData/>
  </xdr:twoCellAnchor>
  <xdr:twoCellAnchor>
    <xdr:from>
      <xdr:col>4</xdr:col>
      <xdr:colOff>259772</xdr:colOff>
      <xdr:row>227</xdr:row>
      <xdr:rowOff>43296</xdr:rowOff>
    </xdr:from>
    <xdr:to>
      <xdr:col>4</xdr:col>
      <xdr:colOff>952499</xdr:colOff>
      <xdr:row>227</xdr:row>
      <xdr:rowOff>1065126</xdr:rowOff>
    </xdr:to>
    <xdr:pic>
      <xdr:nvPicPr>
        <xdr:cNvPr id="1040" name="圖片 1039" descr="畫面剪輯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2815" y="377040775"/>
          <a:ext cx="692150" cy="1021715"/>
        </a:xfrm>
        <a:prstGeom prst="rect">
          <a:avLst/>
        </a:prstGeom>
      </xdr:spPr>
    </xdr:pic>
    <xdr:clientData/>
  </xdr:twoCellAnchor>
  <xdr:twoCellAnchor>
    <xdr:from>
      <xdr:col>4</xdr:col>
      <xdr:colOff>173183</xdr:colOff>
      <xdr:row>230</xdr:row>
      <xdr:rowOff>43297</xdr:rowOff>
    </xdr:from>
    <xdr:to>
      <xdr:col>4</xdr:col>
      <xdr:colOff>966933</xdr:colOff>
      <xdr:row>230</xdr:row>
      <xdr:rowOff>1025395</xdr:rowOff>
    </xdr:to>
    <xdr:pic>
      <xdr:nvPicPr>
        <xdr:cNvPr id="1041" name="圖片 1040" descr="畫面剪輯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5820" y="378174250"/>
          <a:ext cx="793750" cy="981710"/>
        </a:xfrm>
        <a:prstGeom prst="rect">
          <a:avLst/>
        </a:prstGeom>
      </xdr:spPr>
    </xdr:pic>
    <xdr:clientData/>
  </xdr:twoCellAnchor>
  <xdr:twoCellAnchor>
    <xdr:from>
      <xdr:col>4</xdr:col>
      <xdr:colOff>245342</xdr:colOff>
      <xdr:row>231</xdr:row>
      <xdr:rowOff>72161</xdr:rowOff>
    </xdr:from>
    <xdr:to>
      <xdr:col>4</xdr:col>
      <xdr:colOff>922673</xdr:colOff>
      <xdr:row>231</xdr:row>
      <xdr:rowOff>952500</xdr:rowOff>
    </xdr:to>
    <xdr:pic>
      <xdr:nvPicPr>
        <xdr:cNvPr id="1042" name="圖片 1041" descr="畫面剪輯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061" y="213744700"/>
          <a:ext cx="677331" cy="880339"/>
        </a:xfrm>
        <a:prstGeom prst="rect">
          <a:avLst/>
        </a:prstGeom>
      </xdr:spPr>
    </xdr:pic>
    <xdr:clientData/>
  </xdr:twoCellAnchor>
  <xdr:twoCellAnchor>
    <xdr:from>
      <xdr:col>4</xdr:col>
      <xdr:colOff>273753</xdr:colOff>
      <xdr:row>232</xdr:row>
      <xdr:rowOff>70355</xdr:rowOff>
    </xdr:from>
    <xdr:to>
      <xdr:col>4</xdr:col>
      <xdr:colOff>923184</xdr:colOff>
      <xdr:row>232</xdr:row>
      <xdr:rowOff>950767</xdr:rowOff>
    </xdr:to>
    <xdr:pic>
      <xdr:nvPicPr>
        <xdr:cNvPr id="1043" name="圖片 1042" descr="畫面剪輯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472" y="213742894"/>
          <a:ext cx="649431" cy="880412"/>
        </a:xfrm>
        <a:prstGeom prst="rect">
          <a:avLst/>
        </a:prstGeom>
      </xdr:spPr>
    </xdr:pic>
    <xdr:clientData/>
  </xdr:twoCellAnchor>
  <xdr:twoCellAnchor>
    <xdr:from>
      <xdr:col>4</xdr:col>
      <xdr:colOff>187614</xdr:colOff>
      <xdr:row>233</xdr:row>
      <xdr:rowOff>101023</xdr:rowOff>
    </xdr:from>
    <xdr:to>
      <xdr:col>4</xdr:col>
      <xdr:colOff>894772</xdr:colOff>
      <xdr:row>233</xdr:row>
      <xdr:rowOff>1066111</xdr:rowOff>
    </xdr:to>
    <xdr:pic>
      <xdr:nvPicPr>
        <xdr:cNvPr id="1044" name="圖片 1043" descr="畫面剪輯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0425" y="379365510"/>
          <a:ext cx="707390" cy="964565"/>
        </a:xfrm>
        <a:prstGeom prst="rect">
          <a:avLst/>
        </a:prstGeom>
      </xdr:spPr>
    </xdr:pic>
    <xdr:clientData/>
  </xdr:twoCellAnchor>
  <xdr:twoCellAnchor>
    <xdr:from>
      <xdr:col>4</xdr:col>
      <xdr:colOff>202046</xdr:colOff>
      <xdr:row>234</xdr:row>
      <xdr:rowOff>86590</xdr:rowOff>
    </xdr:from>
    <xdr:to>
      <xdr:col>4</xdr:col>
      <xdr:colOff>894772</xdr:colOff>
      <xdr:row>234</xdr:row>
      <xdr:rowOff>980236</xdr:rowOff>
    </xdr:to>
    <xdr:pic>
      <xdr:nvPicPr>
        <xdr:cNvPr id="1045" name="圖片 1044" descr="畫面剪輯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235541704"/>
          <a:ext cx="692726" cy="893646"/>
        </a:xfrm>
        <a:prstGeom prst="rect">
          <a:avLst/>
        </a:prstGeom>
      </xdr:spPr>
    </xdr:pic>
    <xdr:clientData/>
  </xdr:twoCellAnchor>
  <xdr:twoCellAnchor>
    <xdr:from>
      <xdr:col>4</xdr:col>
      <xdr:colOff>173181</xdr:colOff>
      <xdr:row>235</xdr:row>
      <xdr:rowOff>57729</xdr:rowOff>
    </xdr:from>
    <xdr:to>
      <xdr:col>4</xdr:col>
      <xdr:colOff>894772</xdr:colOff>
      <xdr:row>235</xdr:row>
      <xdr:rowOff>1082565</xdr:rowOff>
    </xdr:to>
    <xdr:pic>
      <xdr:nvPicPr>
        <xdr:cNvPr id="1046" name="圖片 1045" descr="畫面剪輯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5820" y="221873445"/>
          <a:ext cx="721995" cy="960120"/>
        </a:xfrm>
        <a:prstGeom prst="rect">
          <a:avLst/>
        </a:prstGeom>
      </xdr:spPr>
    </xdr:pic>
    <xdr:clientData/>
  </xdr:twoCellAnchor>
  <xdr:twoCellAnchor>
    <xdr:from>
      <xdr:col>4</xdr:col>
      <xdr:colOff>216477</xdr:colOff>
      <xdr:row>236</xdr:row>
      <xdr:rowOff>129887</xdr:rowOff>
    </xdr:from>
    <xdr:to>
      <xdr:col>4</xdr:col>
      <xdr:colOff>923636</xdr:colOff>
      <xdr:row>236</xdr:row>
      <xdr:rowOff>1097798</xdr:rowOff>
    </xdr:to>
    <xdr:pic>
      <xdr:nvPicPr>
        <xdr:cNvPr id="1047" name="圖片 1046" descr="畫面剪輯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0" y="222963105"/>
          <a:ext cx="707390" cy="887730"/>
        </a:xfrm>
        <a:prstGeom prst="rect">
          <a:avLst/>
        </a:prstGeom>
      </xdr:spPr>
    </xdr:pic>
    <xdr:clientData/>
  </xdr:twoCellAnchor>
  <xdr:twoCellAnchor>
    <xdr:from>
      <xdr:col>4</xdr:col>
      <xdr:colOff>288637</xdr:colOff>
      <xdr:row>237</xdr:row>
      <xdr:rowOff>72159</xdr:rowOff>
    </xdr:from>
    <xdr:to>
      <xdr:col>4</xdr:col>
      <xdr:colOff>880341</xdr:colOff>
      <xdr:row>237</xdr:row>
      <xdr:rowOff>1008850</xdr:rowOff>
    </xdr:to>
    <xdr:pic>
      <xdr:nvPicPr>
        <xdr:cNvPr id="1048" name="圖片 1047" descr="畫面剪輯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390" y="223922590"/>
          <a:ext cx="591820" cy="936625"/>
        </a:xfrm>
        <a:prstGeom prst="rect">
          <a:avLst/>
        </a:prstGeom>
      </xdr:spPr>
    </xdr:pic>
    <xdr:clientData/>
  </xdr:twoCellAnchor>
  <xdr:twoCellAnchor>
    <xdr:from>
      <xdr:col>4</xdr:col>
      <xdr:colOff>230908</xdr:colOff>
      <xdr:row>238</xdr:row>
      <xdr:rowOff>86590</xdr:rowOff>
    </xdr:from>
    <xdr:to>
      <xdr:col>4</xdr:col>
      <xdr:colOff>909203</xdr:colOff>
      <xdr:row>238</xdr:row>
      <xdr:rowOff>1094025</xdr:rowOff>
    </xdr:to>
    <xdr:pic>
      <xdr:nvPicPr>
        <xdr:cNvPr id="1049" name="圖片 1048" descr="畫面剪輯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3605" y="224954465"/>
          <a:ext cx="678180" cy="930910"/>
        </a:xfrm>
        <a:prstGeom prst="rect">
          <a:avLst/>
        </a:prstGeom>
      </xdr:spPr>
    </xdr:pic>
    <xdr:clientData/>
  </xdr:twoCellAnchor>
  <xdr:twoCellAnchor>
    <xdr:from>
      <xdr:col>4</xdr:col>
      <xdr:colOff>216477</xdr:colOff>
      <xdr:row>239</xdr:row>
      <xdr:rowOff>43297</xdr:rowOff>
    </xdr:from>
    <xdr:to>
      <xdr:col>4</xdr:col>
      <xdr:colOff>865908</xdr:colOff>
      <xdr:row>239</xdr:row>
      <xdr:rowOff>1076073</xdr:rowOff>
    </xdr:to>
    <xdr:pic>
      <xdr:nvPicPr>
        <xdr:cNvPr id="1050" name="圖片 1049" descr="畫面剪輯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0" y="380441200"/>
          <a:ext cx="649605" cy="1032510"/>
        </a:xfrm>
        <a:prstGeom prst="rect">
          <a:avLst/>
        </a:prstGeom>
      </xdr:spPr>
    </xdr:pic>
    <xdr:clientData/>
  </xdr:twoCellAnchor>
  <xdr:twoCellAnchor>
    <xdr:from>
      <xdr:col>4</xdr:col>
      <xdr:colOff>144320</xdr:colOff>
      <xdr:row>240</xdr:row>
      <xdr:rowOff>86591</xdr:rowOff>
    </xdr:from>
    <xdr:to>
      <xdr:col>4</xdr:col>
      <xdr:colOff>709050</xdr:colOff>
      <xdr:row>240</xdr:row>
      <xdr:rowOff>858592</xdr:rowOff>
    </xdr:to>
    <xdr:pic>
      <xdr:nvPicPr>
        <xdr:cNvPr id="1051" name="圖片 1050" descr="畫面剪輯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039" y="219831318"/>
          <a:ext cx="564730" cy="772001"/>
        </a:xfrm>
        <a:prstGeom prst="rect">
          <a:avLst/>
        </a:prstGeom>
      </xdr:spPr>
    </xdr:pic>
    <xdr:clientData/>
  </xdr:twoCellAnchor>
  <xdr:twoCellAnchor>
    <xdr:from>
      <xdr:col>6</xdr:col>
      <xdr:colOff>202046</xdr:colOff>
      <xdr:row>224</xdr:row>
      <xdr:rowOff>230910</xdr:rowOff>
    </xdr:from>
    <xdr:to>
      <xdr:col>6</xdr:col>
      <xdr:colOff>1869154</xdr:colOff>
      <xdr:row>224</xdr:row>
      <xdr:rowOff>1069227</xdr:rowOff>
    </xdr:to>
    <xdr:pic>
      <xdr:nvPicPr>
        <xdr:cNvPr id="1052" name="圖片 1051" descr="畫面剪輯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730" y="214001985"/>
          <a:ext cx="1407795" cy="786765"/>
        </a:xfrm>
        <a:prstGeom prst="rect">
          <a:avLst/>
        </a:prstGeom>
      </xdr:spPr>
    </xdr:pic>
    <xdr:clientData/>
  </xdr:twoCellAnchor>
  <xdr:twoCellAnchor>
    <xdr:from>
      <xdr:col>6</xdr:col>
      <xdr:colOff>245341</xdr:colOff>
      <xdr:row>225</xdr:row>
      <xdr:rowOff>115454</xdr:rowOff>
    </xdr:from>
    <xdr:to>
      <xdr:col>6</xdr:col>
      <xdr:colOff>2036291</xdr:colOff>
      <xdr:row>225</xdr:row>
      <xdr:rowOff>1087140</xdr:rowOff>
    </xdr:to>
    <xdr:pic>
      <xdr:nvPicPr>
        <xdr:cNvPr id="1053" name="圖片 1052" descr="畫面剪輯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910" y="214903685"/>
          <a:ext cx="1364615" cy="902335"/>
        </a:xfrm>
        <a:prstGeom prst="rect">
          <a:avLst/>
        </a:prstGeom>
      </xdr:spPr>
    </xdr:pic>
    <xdr:clientData/>
  </xdr:twoCellAnchor>
  <xdr:twoCellAnchor>
    <xdr:from>
      <xdr:col>6</xdr:col>
      <xdr:colOff>187614</xdr:colOff>
      <xdr:row>228</xdr:row>
      <xdr:rowOff>202045</xdr:rowOff>
    </xdr:from>
    <xdr:to>
      <xdr:col>6</xdr:col>
      <xdr:colOff>1902353</xdr:colOff>
      <xdr:row>228</xdr:row>
      <xdr:rowOff>1087994</xdr:rowOff>
    </xdr:to>
    <xdr:pic>
      <xdr:nvPicPr>
        <xdr:cNvPr id="1054" name="圖片 1053" descr="畫面剪輯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0125" y="217025220"/>
          <a:ext cx="1422400" cy="815340"/>
        </a:xfrm>
        <a:prstGeom prst="rect">
          <a:avLst/>
        </a:prstGeom>
      </xdr:spPr>
    </xdr:pic>
    <xdr:clientData/>
  </xdr:twoCellAnchor>
  <xdr:twoCellAnchor>
    <xdr:from>
      <xdr:col>6</xdr:col>
      <xdr:colOff>144318</xdr:colOff>
      <xdr:row>229</xdr:row>
      <xdr:rowOff>48376</xdr:rowOff>
    </xdr:from>
    <xdr:to>
      <xdr:col>6</xdr:col>
      <xdr:colOff>1916215</xdr:colOff>
      <xdr:row>229</xdr:row>
      <xdr:rowOff>943851</xdr:rowOff>
    </xdr:to>
    <xdr:pic>
      <xdr:nvPicPr>
        <xdr:cNvPr id="1055" name="圖片 1054" descr="畫面剪輯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945" y="217888820"/>
          <a:ext cx="1465580" cy="875665"/>
        </a:xfrm>
        <a:prstGeom prst="rect">
          <a:avLst/>
        </a:prstGeom>
      </xdr:spPr>
    </xdr:pic>
    <xdr:clientData/>
  </xdr:twoCellAnchor>
  <xdr:twoCellAnchor>
    <xdr:from>
      <xdr:col>6</xdr:col>
      <xdr:colOff>216478</xdr:colOff>
      <xdr:row>226</xdr:row>
      <xdr:rowOff>173182</xdr:rowOff>
    </xdr:from>
    <xdr:to>
      <xdr:col>6</xdr:col>
      <xdr:colOff>1874059</xdr:colOff>
      <xdr:row>226</xdr:row>
      <xdr:rowOff>982920</xdr:rowOff>
    </xdr:to>
    <xdr:pic>
      <xdr:nvPicPr>
        <xdr:cNvPr id="483" name="圖片 482" descr="畫面剪輯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8700" y="215978740"/>
          <a:ext cx="1393825" cy="809625"/>
        </a:xfrm>
        <a:prstGeom prst="rect">
          <a:avLst/>
        </a:prstGeom>
      </xdr:spPr>
    </xdr:pic>
    <xdr:clientData/>
  </xdr:twoCellAnchor>
  <xdr:twoCellAnchor>
    <xdr:from>
      <xdr:col>6</xdr:col>
      <xdr:colOff>259773</xdr:colOff>
      <xdr:row>231</xdr:row>
      <xdr:rowOff>144318</xdr:rowOff>
    </xdr:from>
    <xdr:to>
      <xdr:col>6</xdr:col>
      <xdr:colOff>1984039</xdr:colOff>
      <xdr:row>231</xdr:row>
      <xdr:rowOff>1049319</xdr:rowOff>
    </xdr:to>
    <xdr:pic>
      <xdr:nvPicPr>
        <xdr:cNvPr id="661" name="圖片 660" descr="畫面剪輯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515" y="218908630"/>
          <a:ext cx="1350010" cy="873125"/>
        </a:xfrm>
        <a:prstGeom prst="rect">
          <a:avLst/>
        </a:prstGeom>
      </xdr:spPr>
    </xdr:pic>
    <xdr:clientData/>
  </xdr:twoCellAnchor>
  <xdr:twoCellAnchor>
    <xdr:from>
      <xdr:col>6</xdr:col>
      <xdr:colOff>173182</xdr:colOff>
      <xdr:row>232</xdr:row>
      <xdr:rowOff>144318</xdr:rowOff>
    </xdr:from>
    <xdr:to>
      <xdr:col>6</xdr:col>
      <xdr:colOff>1954606</xdr:colOff>
      <xdr:row>232</xdr:row>
      <xdr:rowOff>1068372</xdr:rowOff>
    </xdr:to>
    <xdr:pic>
      <xdr:nvPicPr>
        <xdr:cNvPr id="662" name="圖片 661" descr="畫面剪輯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5520" y="219925900"/>
          <a:ext cx="1437005" cy="873125"/>
        </a:xfrm>
        <a:prstGeom prst="rect">
          <a:avLst/>
        </a:prstGeom>
      </xdr:spPr>
    </xdr:pic>
    <xdr:clientData/>
  </xdr:twoCellAnchor>
  <xdr:twoCellAnchor>
    <xdr:from>
      <xdr:col>6</xdr:col>
      <xdr:colOff>144318</xdr:colOff>
      <xdr:row>234</xdr:row>
      <xdr:rowOff>57727</xdr:rowOff>
    </xdr:from>
    <xdr:to>
      <xdr:col>6</xdr:col>
      <xdr:colOff>1906689</xdr:colOff>
      <xdr:row>234</xdr:row>
      <xdr:rowOff>981781</xdr:rowOff>
    </xdr:to>
    <xdr:pic>
      <xdr:nvPicPr>
        <xdr:cNvPr id="664" name="圖片 663" descr="畫面剪輯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945" y="220856175"/>
          <a:ext cx="1465580" cy="924560"/>
        </a:xfrm>
        <a:prstGeom prst="rect">
          <a:avLst/>
        </a:prstGeom>
      </xdr:spPr>
    </xdr:pic>
    <xdr:clientData/>
  </xdr:twoCellAnchor>
  <xdr:twoCellAnchor>
    <xdr:from>
      <xdr:col>6</xdr:col>
      <xdr:colOff>245341</xdr:colOff>
      <xdr:row>235</xdr:row>
      <xdr:rowOff>86591</xdr:rowOff>
    </xdr:from>
    <xdr:to>
      <xdr:col>6</xdr:col>
      <xdr:colOff>1845764</xdr:colOff>
      <xdr:row>235</xdr:row>
      <xdr:rowOff>953487</xdr:rowOff>
    </xdr:to>
    <xdr:pic>
      <xdr:nvPicPr>
        <xdr:cNvPr id="665" name="圖片 664" descr="畫面剪輯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910" y="221902655"/>
          <a:ext cx="1364615" cy="866775"/>
        </a:xfrm>
        <a:prstGeom prst="rect">
          <a:avLst/>
        </a:prstGeom>
      </xdr:spPr>
    </xdr:pic>
    <xdr:clientData/>
  </xdr:twoCellAnchor>
  <xdr:twoCellAnchor>
    <xdr:from>
      <xdr:col>6</xdr:col>
      <xdr:colOff>230909</xdr:colOff>
      <xdr:row>236</xdr:row>
      <xdr:rowOff>129887</xdr:rowOff>
    </xdr:from>
    <xdr:to>
      <xdr:col>6</xdr:col>
      <xdr:colOff>1926596</xdr:colOff>
      <xdr:row>236</xdr:row>
      <xdr:rowOff>1015836</xdr:rowOff>
    </xdr:to>
    <xdr:pic>
      <xdr:nvPicPr>
        <xdr:cNvPr id="666" name="圖片 665" descr="畫面剪輯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305" y="222963105"/>
          <a:ext cx="1379220" cy="885825"/>
        </a:xfrm>
        <a:prstGeom prst="rect">
          <a:avLst/>
        </a:prstGeom>
      </xdr:spPr>
    </xdr:pic>
    <xdr:clientData/>
  </xdr:twoCellAnchor>
  <xdr:twoCellAnchor>
    <xdr:from>
      <xdr:col>6</xdr:col>
      <xdr:colOff>245341</xdr:colOff>
      <xdr:row>237</xdr:row>
      <xdr:rowOff>72159</xdr:rowOff>
    </xdr:from>
    <xdr:to>
      <xdr:col>6</xdr:col>
      <xdr:colOff>1912449</xdr:colOff>
      <xdr:row>237</xdr:row>
      <xdr:rowOff>948581</xdr:rowOff>
    </xdr:to>
    <xdr:pic>
      <xdr:nvPicPr>
        <xdr:cNvPr id="667" name="圖片 666" descr="畫面剪輯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910" y="223922590"/>
          <a:ext cx="1364615" cy="876300"/>
        </a:xfrm>
        <a:prstGeom prst="rect">
          <a:avLst/>
        </a:prstGeom>
      </xdr:spPr>
    </xdr:pic>
    <xdr:clientData/>
  </xdr:twoCellAnchor>
  <xdr:twoCellAnchor>
    <xdr:from>
      <xdr:col>6</xdr:col>
      <xdr:colOff>129887</xdr:colOff>
      <xdr:row>238</xdr:row>
      <xdr:rowOff>144319</xdr:rowOff>
    </xdr:from>
    <xdr:to>
      <xdr:col>6</xdr:col>
      <xdr:colOff>1939890</xdr:colOff>
      <xdr:row>238</xdr:row>
      <xdr:rowOff>1030268</xdr:rowOff>
    </xdr:to>
    <xdr:pic>
      <xdr:nvPicPr>
        <xdr:cNvPr id="668" name="圖片 667" descr="畫面剪輯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2340" y="225012250"/>
          <a:ext cx="1480185" cy="873125"/>
        </a:xfrm>
        <a:prstGeom prst="rect">
          <a:avLst/>
        </a:prstGeom>
      </xdr:spPr>
    </xdr:pic>
    <xdr:clientData/>
  </xdr:twoCellAnchor>
  <xdr:twoCellAnchor>
    <xdr:from>
      <xdr:col>6</xdr:col>
      <xdr:colOff>317500</xdr:colOff>
      <xdr:row>240</xdr:row>
      <xdr:rowOff>144318</xdr:rowOff>
    </xdr:from>
    <xdr:to>
      <xdr:col>6</xdr:col>
      <xdr:colOff>1927450</xdr:colOff>
      <xdr:row>240</xdr:row>
      <xdr:rowOff>915951</xdr:rowOff>
    </xdr:to>
    <xdr:pic>
      <xdr:nvPicPr>
        <xdr:cNvPr id="670" name="圖片 669" descr="畫面剪輯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0300" y="226029520"/>
          <a:ext cx="1292225" cy="771525"/>
        </a:xfrm>
        <a:prstGeom prst="rect">
          <a:avLst/>
        </a:prstGeom>
      </xdr:spPr>
    </xdr:pic>
    <xdr:clientData/>
  </xdr:twoCellAnchor>
  <xdr:twoCellAnchor>
    <xdr:from>
      <xdr:col>4</xdr:col>
      <xdr:colOff>187615</xdr:colOff>
      <xdr:row>269</xdr:row>
      <xdr:rowOff>158751</xdr:rowOff>
    </xdr:from>
    <xdr:to>
      <xdr:col>4</xdr:col>
      <xdr:colOff>1125681</xdr:colOff>
      <xdr:row>269</xdr:row>
      <xdr:rowOff>969221</xdr:rowOff>
    </xdr:to>
    <xdr:pic>
      <xdr:nvPicPr>
        <xdr:cNvPr id="712" name="圖片 711" descr="畫面剪輯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0425" y="235199555"/>
          <a:ext cx="937895" cy="810260"/>
        </a:xfrm>
        <a:prstGeom prst="rect">
          <a:avLst/>
        </a:prstGeom>
      </xdr:spPr>
    </xdr:pic>
    <xdr:clientData/>
  </xdr:twoCellAnchor>
  <xdr:twoCellAnchor>
    <xdr:from>
      <xdr:col>4</xdr:col>
      <xdr:colOff>101023</xdr:colOff>
      <xdr:row>270</xdr:row>
      <xdr:rowOff>57728</xdr:rowOff>
    </xdr:from>
    <xdr:to>
      <xdr:col>4</xdr:col>
      <xdr:colOff>1168977</xdr:colOff>
      <xdr:row>270</xdr:row>
      <xdr:rowOff>1015867</xdr:rowOff>
    </xdr:to>
    <xdr:pic>
      <xdr:nvPicPr>
        <xdr:cNvPr id="713" name="圖片 712" descr="畫面剪輯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4065" y="236115225"/>
          <a:ext cx="1067435" cy="958215"/>
        </a:xfrm>
        <a:prstGeom prst="rect">
          <a:avLst/>
        </a:prstGeom>
      </xdr:spPr>
    </xdr:pic>
    <xdr:clientData/>
  </xdr:twoCellAnchor>
  <xdr:twoCellAnchor>
    <xdr:from>
      <xdr:col>4</xdr:col>
      <xdr:colOff>129887</xdr:colOff>
      <xdr:row>271</xdr:row>
      <xdr:rowOff>129887</xdr:rowOff>
    </xdr:from>
    <xdr:to>
      <xdr:col>4</xdr:col>
      <xdr:colOff>1140113</xdr:colOff>
      <xdr:row>271</xdr:row>
      <xdr:rowOff>1034881</xdr:rowOff>
    </xdr:to>
    <xdr:pic>
      <xdr:nvPicPr>
        <xdr:cNvPr id="714" name="圖片 713" descr="畫面剪輯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2640" y="237204885"/>
          <a:ext cx="1010285" cy="887730"/>
        </a:xfrm>
        <a:prstGeom prst="rect">
          <a:avLst/>
        </a:prstGeom>
      </xdr:spPr>
    </xdr:pic>
    <xdr:clientData/>
  </xdr:twoCellAnchor>
  <xdr:twoCellAnchor>
    <xdr:from>
      <xdr:col>4</xdr:col>
      <xdr:colOff>158750</xdr:colOff>
      <xdr:row>272</xdr:row>
      <xdr:rowOff>101023</xdr:rowOff>
    </xdr:from>
    <xdr:to>
      <xdr:col>4</xdr:col>
      <xdr:colOff>1168977</xdr:colOff>
      <xdr:row>272</xdr:row>
      <xdr:rowOff>1016381</xdr:rowOff>
    </xdr:to>
    <xdr:pic>
      <xdr:nvPicPr>
        <xdr:cNvPr id="715" name="圖片 714" descr="畫面剪輯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1850" y="238193580"/>
          <a:ext cx="1009650" cy="915035"/>
        </a:xfrm>
        <a:prstGeom prst="rect">
          <a:avLst/>
        </a:prstGeom>
      </xdr:spPr>
    </xdr:pic>
    <xdr:clientData/>
  </xdr:twoCellAnchor>
  <xdr:twoCellAnchor>
    <xdr:from>
      <xdr:col>4</xdr:col>
      <xdr:colOff>115455</xdr:colOff>
      <xdr:row>273</xdr:row>
      <xdr:rowOff>115455</xdr:rowOff>
    </xdr:from>
    <xdr:to>
      <xdr:col>4</xdr:col>
      <xdr:colOff>1199218</xdr:colOff>
      <xdr:row>273</xdr:row>
      <xdr:rowOff>1053523</xdr:rowOff>
    </xdr:to>
    <xdr:pic>
      <xdr:nvPicPr>
        <xdr:cNvPr id="716" name="圖片 715" descr="畫面剪輯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8035" y="239224820"/>
          <a:ext cx="1083945" cy="902335"/>
        </a:xfrm>
        <a:prstGeom prst="rect">
          <a:avLst/>
        </a:prstGeom>
      </xdr:spPr>
    </xdr:pic>
    <xdr:clientData/>
  </xdr:twoCellAnchor>
  <xdr:twoCellAnchor>
    <xdr:from>
      <xdr:col>4</xdr:col>
      <xdr:colOff>129888</xdr:colOff>
      <xdr:row>274</xdr:row>
      <xdr:rowOff>101024</xdr:rowOff>
    </xdr:from>
    <xdr:to>
      <xdr:col>4</xdr:col>
      <xdr:colOff>1083054</xdr:colOff>
      <xdr:row>274</xdr:row>
      <xdr:rowOff>903233</xdr:rowOff>
    </xdr:to>
    <xdr:pic>
      <xdr:nvPicPr>
        <xdr:cNvPr id="717" name="圖片 716" descr="畫面剪輯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2640" y="240228120"/>
          <a:ext cx="953135" cy="802005"/>
        </a:xfrm>
        <a:prstGeom prst="rect">
          <a:avLst/>
        </a:prstGeom>
      </xdr:spPr>
    </xdr:pic>
    <xdr:clientData/>
  </xdr:twoCellAnchor>
  <xdr:twoCellAnchor>
    <xdr:from>
      <xdr:col>4</xdr:col>
      <xdr:colOff>101023</xdr:colOff>
      <xdr:row>275</xdr:row>
      <xdr:rowOff>101024</xdr:rowOff>
    </xdr:from>
    <xdr:to>
      <xdr:col>4</xdr:col>
      <xdr:colOff>1241136</xdr:colOff>
      <xdr:row>275</xdr:row>
      <xdr:rowOff>1095180</xdr:rowOff>
    </xdr:to>
    <xdr:pic>
      <xdr:nvPicPr>
        <xdr:cNvPr id="718" name="圖片 717" descr="畫面剪輯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4065" y="241245390"/>
          <a:ext cx="1139825" cy="916305"/>
        </a:xfrm>
        <a:prstGeom prst="rect">
          <a:avLst/>
        </a:prstGeom>
      </xdr:spPr>
    </xdr:pic>
    <xdr:clientData/>
  </xdr:twoCellAnchor>
  <xdr:twoCellAnchor>
    <xdr:from>
      <xdr:col>4</xdr:col>
      <xdr:colOff>129886</xdr:colOff>
      <xdr:row>276</xdr:row>
      <xdr:rowOff>57727</xdr:rowOff>
    </xdr:from>
    <xdr:to>
      <xdr:col>4</xdr:col>
      <xdr:colOff>1168977</xdr:colOff>
      <xdr:row>276</xdr:row>
      <xdr:rowOff>994696</xdr:rowOff>
    </xdr:to>
    <xdr:pic>
      <xdr:nvPicPr>
        <xdr:cNvPr id="719" name="圖片 718" descr="畫面剪輯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2640" y="242218845"/>
          <a:ext cx="1038860" cy="937260"/>
        </a:xfrm>
        <a:prstGeom prst="rect">
          <a:avLst/>
        </a:prstGeom>
      </xdr:spPr>
    </xdr:pic>
    <xdr:clientData/>
  </xdr:twoCellAnchor>
  <xdr:twoCellAnchor>
    <xdr:from>
      <xdr:col>4</xdr:col>
      <xdr:colOff>173182</xdr:colOff>
      <xdr:row>277</xdr:row>
      <xdr:rowOff>129887</xdr:rowOff>
    </xdr:from>
    <xdr:to>
      <xdr:col>4</xdr:col>
      <xdr:colOff>1171887</xdr:colOff>
      <xdr:row>277</xdr:row>
      <xdr:rowOff>1010227</xdr:rowOff>
    </xdr:to>
    <xdr:pic>
      <xdr:nvPicPr>
        <xdr:cNvPr id="720" name="圖片 719" descr="畫面剪輯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5820" y="243308505"/>
          <a:ext cx="998855" cy="880110"/>
        </a:xfrm>
        <a:prstGeom prst="rect">
          <a:avLst/>
        </a:prstGeom>
      </xdr:spPr>
    </xdr:pic>
    <xdr:clientData/>
  </xdr:twoCellAnchor>
  <xdr:twoCellAnchor>
    <xdr:from>
      <xdr:col>6</xdr:col>
      <xdr:colOff>230909</xdr:colOff>
      <xdr:row>269</xdr:row>
      <xdr:rowOff>144318</xdr:rowOff>
    </xdr:from>
    <xdr:to>
      <xdr:col>6</xdr:col>
      <xdr:colOff>2006023</xdr:colOff>
      <xdr:row>269</xdr:row>
      <xdr:rowOff>1065580</xdr:rowOff>
    </xdr:to>
    <xdr:pic>
      <xdr:nvPicPr>
        <xdr:cNvPr id="722" name="圖片 721" descr="畫面剪輯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305" y="235184950"/>
          <a:ext cx="1379220" cy="873125"/>
        </a:xfrm>
        <a:prstGeom prst="rect">
          <a:avLst/>
        </a:prstGeom>
      </xdr:spPr>
    </xdr:pic>
    <xdr:clientData/>
  </xdr:twoCellAnchor>
  <xdr:twoCellAnchor>
    <xdr:from>
      <xdr:col>6</xdr:col>
      <xdr:colOff>259773</xdr:colOff>
      <xdr:row>270</xdr:row>
      <xdr:rowOff>158750</xdr:rowOff>
    </xdr:from>
    <xdr:to>
      <xdr:col>6</xdr:col>
      <xdr:colOff>1869723</xdr:colOff>
      <xdr:row>270</xdr:row>
      <xdr:rowOff>949435</xdr:rowOff>
    </xdr:to>
    <xdr:pic>
      <xdr:nvPicPr>
        <xdr:cNvPr id="723" name="圖片 722" descr="畫面剪輯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515" y="236216825"/>
          <a:ext cx="1350010" cy="790575"/>
        </a:xfrm>
        <a:prstGeom prst="rect">
          <a:avLst/>
        </a:prstGeom>
      </xdr:spPr>
    </xdr:pic>
    <xdr:clientData/>
  </xdr:twoCellAnchor>
  <xdr:twoCellAnchor>
    <xdr:from>
      <xdr:col>6</xdr:col>
      <xdr:colOff>245341</xdr:colOff>
      <xdr:row>271</xdr:row>
      <xdr:rowOff>72159</xdr:rowOff>
    </xdr:from>
    <xdr:to>
      <xdr:col>6</xdr:col>
      <xdr:colOff>1912449</xdr:colOff>
      <xdr:row>271</xdr:row>
      <xdr:rowOff>920002</xdr:rowOff>
    </xdr:to>
    <xdr:pic>
      <xdr:nvPicPr>
        <xdr:cNvPr id="724" name="圖片 723" descr="畫面剪輯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910" y="237147100"/>
          <a:ext cx="1364615" cy="847725"/>
        </a:xfrm>
        <a:prstGeom prst="rect">
          <a:avLst/>
        </a:prstGeom>
      </xdr:spPr>
    </xdr:pic>
    <xdr:clientData/>
  </xdr:twoCellAnchor>
  <xdr:twoCellAnchor>
    <xdr:from>
      <xdr:col>6</xdr:col>
      <xdr:colOff>245341</xdr:colOff>
      <xdr:row>272</xdr:row>
      <xdr:rowOff>158750</xdr:rowOff>
    </xdr:from>
    <xdr:to>
      <xdr:col>6</xdr:col>
      <xdr:colOff>1902922</xdr:colOff>
      <xdr:row>272</xdr:row>
      <xdr:rowOff>968488</xdr:rowOff>
    </xdr:to>
    <xdr:pic>
      <xdr:nvPicPr>
        <xdr:cNvPr id="725" name="圖片 724" descr="畫面剪輯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910" y="238251365"/>
          <a:ext cx="1364615" cy="809625"/>
        </a:xfrm>
        <a:prstGeom prst="rect">
          <a:avLst/>
        </a:prstGeom>
      </xdr:spPr>
    </xdr:pic>
    <xdr:clientData/>
  </xdr:twoCellAnchor>
  <xdr:twoCellAnchor>
    <xdr:from>
      <xdr:col>6</xdr:col>
      <xdr:colOff>230909</xdr:colOff>
      <xdr:row>273</xdr:row>
      <xdr:rowOff>216478</xdr:rowOff>
    </xdr:from>
    <xdr:to>
      <xdr:col>6</xdr:col>
      <xdr:colOff>1898017</xdr:colOff>
      <xdr:row>273</xdr:row>
      <xdr:rowOff>1054795</xdr:rowOff>
    </xdr:to>
    <xdr:pic>
      <xdr:nvPicPr>
        <xdr:cNvPr id="726" name="圖片 725" descr="畫面剪輯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305" y="239325785"/>
          <a:ext cx="1379220" cy="801370"/>
        </a:xfrm>
        <a:prstGeom prst="rect">
          <a:avLst/>
        </a:prstGeom>
      </xdr:spPr>
    </xdr:pic>
    <xdr:clientData/>
  </xdr:twoCellAnchor>
  <xdr:twoCellAnchor>
    <xdr:from>
      <xdr:col>6</xdr:col>
      <xdr:colOff>267735</xdr:colOff>
      <xdr:row>274</xdr:row>
      <xdr:rowOff>144318</xdr:rowOff>
    </xdr:from>
    <xdr:to>
      <xdr:col>6</xdr:col>
      <xdr:colOff>1773621</xdr:colOff>
      <xdr:row>274</xdr:row>
      <xdr:rowOff>918533</xdr:rowOff>
    </xdr:to>
    <xdr:pic>
      <xdr:nvPicPr>
        <xdr:cNvPr id="727" name="圖片 726" descr="畫面剪輯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135" y="240271300"/>
          <a:ext cx="1342390" cy="774065"/>
        </a:xfrm>
        <a:prstGeom prst="rect">
          <a:avLst/>
        </a:prstGeom>
      </xdr:spPr>
    </xdr:pic>
    <xdr:clientData/>
  </xdr:twoCellAnchor>
  <xdr:twoCellAnchor>
    <xdr:from>
      <xdr:col>6</xdr:col>
      <xdr:colOff>216477</xdr:colOff>
      <xdr:row>275</xdr:row>
      <xdr:rowOff>129887</xdr:rowOff>
    </xdr:from>
    <xdr:to>
      <xdr:col>6</xdr:col>
      <xdr:colOff>1845479</xdr:colOff>
      <xdr:row>275</xdr:row>
      <xdr:rowOff>1015836</xdr:rowOff>
    </xdr:to>
    <xdr:pic>
      <xdr:nvPicPr>
        <xdr:cNvPr id="728" name="圖片 727" descr="畫面剪輯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8700" y="241273965"/>
          <a:ext cx="1393825" cy="885825"/>
        </a:xfrm>
        <a:prstGeom prst="rect">
          <a:avLst/>
        </a:prstGeom>
      </xdr:spPr>
    </xdr:pic>
    <xdr:clientData/>
  </xdr:twoCellAnchor>
  <xdr:twoCellAnchor>
    <xdr:from>
      <xdr:col>6</xdr:col>
      <xdr:colOff>274204</xdr:colOff>
      <xdr:row>276</xdr:row>
      <xdr:rowOff>86591</xdr:rowOff>
    </xdr:from>
    <xdr:to>
      <xdr:col>6</xdr:col>
      <xdr:colOff>1941312</xdr:colOff>
      <xdr:row>276</xdr:row>
      <xdr:rowOff>1001119</xdr:rowOff>
    </xdr:to>
    <xdr:pic>
      <xdr:nvPicPr>
        <xdr:cNvPr id="729" name="圖片 728" descr="畫面剪輯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6485" y="242248055"/>
          <a:ext cx="1336040" cy="914400"/>
        </a:xfrm>
        <a:prstGeom prst="rect">
          <a:avLst/>
        </a:prstGeom>
      </xdr:spPr>
    </xdr:pic>
    <xdr:clientData/>
  </xdr:twoCellAnchor>
  <xdr:twoCellAnchor>
    <xdr:from>
      <xdr:col>6</xdr:col>
      <xdr:colOff>187614</xdr:colOff>
      <xdr:row>277</xdr:row>
      <xdr:rowOff>57727</xdr:rowOff>
    </xdr:from>
    <xdr:to>
      <xdr:col>6</xdr:col>
      <xdr:colOff>1930932</xdr:colOff>
      <xdr:row>277</xdr:row>
      <xdr:rowOff>991307</xdr:rowOff>
    </xdr:to>
    <xdr:pic>
      <xdr:nvPicPr>
        <xdr:cNvPr id="730" name="圖片 729" descr="畫面剪輯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0125" y="243236115"/>
          <a:ext cx="1422400" cy="934085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291</xdr:row>
      <xdr:rowOff>88900</xdr:rowOff>
    </xdr:from>
    <xdr:to>
      <xdr:col>4</xdr:col>
      <xdr:colOff>1028700</xdr:colOff>
      <xdr:row>291</xdr:row>
      <xdr:rowOff>939800</xdr:rowOff>
    </xdr:to>
    <xdr:pic>
      <xdr:nvPicPr>
        <xdr:cNvPr id="737" name="圖片 628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4050" y="256216150"/>
          <a:ext cx="850900" cy="850900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293</xdr:row>
      <xdr:rowOff>108857</xdr:rowOff>
    </xdr:from>
    <xdr:to>
      <xdr:col>4</xdr:col>
      <xdr:colOff>898070</xdr:colOff>
      <xdr:row>293</xdr:row>
      <xdr:rowOff>880879</xdr:rowOff>
    </xdr:to>
    <xdr:pic>
      <xdr:nvPicPr>
        <xdr:cNvPr id="739" name="圖片 33" descr="畫面剪輯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7575" y="254477520"/>
          <a:ext cx="653415" cy="77216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291</xdr:row>
      <xdr:rowOff>57728</xdr:rowOff>
    </xdr:from>
    <xdr:to>
      <xdr:col>6</xdr:col>
      <xdr:colOff>1883016</xdr:colOff>
      <xdr:row>291</xdr:row>
      <xdr:rowOff>943677</xdr:rowOff>
    </xdr:to>
    <xdr:pic>
      <xdr:nvPicPr>
        <xdr:cNvPr id="1059" name="圖片 1058" descr="畫面剪輯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252391545"/>
          <a:ext cx="1450975" cy="886460"/>
        </a:xfrm>
        <a:prstGeom prst="rect">
          <a:avLst/>
        </a:prstGeom>
      </xdr:spPr>
    </xdr:pic>
    <xdr:clientData/>
  </xdr:twoCellAnchor>
  <xdr:twoCellAnchor>
    <xdr:from>
      <xdr:col>6</xdr:col>
      <xdr:colOff>216478</xdr:colOff>
      <xdr:row>293</xdr:row>
      <xdr:rowOff>86688</xdr:rowOff>
    </xdr:from>
    <xdr:to>
      <xdr:col>6</xdr:col>
      <xdr:colOff>1803978</xdr:colOff>
      <xdr:row>293</xdr:row>
      <xdr:rowOff>957253</xdr:rowOff>
    </xdr:to>
    <xdr:pic>
      <xdr:nvPicPr>
        <xdr:cNvPr id="1060" name="圖片 1059" descr="畫面剪輯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8700" y="254455295"/>
          <a:ext cx="1393825" cy="870585"/>
        </a:xfrm>
        <a:prstGeom prst="rect">
          <a:avLst/>
        </a:prstGeom>
      </xdr:spPr>
    </xdr:pic>
    <xdr:clientData/>
  </xdr:twoCellAnchor>
  <xdr:twoCellAnchor>
    <xdr:from>
      <xdr:col>4</xdr:col>
      <xdr:colOff>317500</xdr:colOff>
      <xdr:row>210</xdr:row>
      <xdr:rowOff>136407</xdr:rowOff>
    </xdr:from>
    <xdr:to>
      <xdr:col>4</xdr:col>
      <xdr:colOff>762000</xdr:colOff>
      <xdr:row>210</xdr:row>
      <xdr:rowOff>873125</xdr:rowOff>
    </xdr:to>
    <xdr:pic>
      <xdr:nvPicPr>
        <xdr:cNvPr id="744" name="Picture 3389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80600" y="200682860"/>
          <a:ext cx="44450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287</xdr:row>
      <xdr:rowOff>57150</xdr:rowOff>
    </xdr:from>
    <xdr:to>
      <xdr:col>4</xdr:col>
      <xdr:colOff>914400</xdr:colOff>
      <xdr:row>287</xdr:row>
      <xdr:rowOff>904875</xdr:rowOff>
    </xdr:to>
    <xdr:pic>
      <xdr:nvPicPr>
        <xdr:cNvPr id="746" name="圖片 1" descr="畫面剪輯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2650" y="248322465"/>
          <a:ext cx="704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242</xdr:row>
      <xdr:rowOff>59160</xdr:rowOff>
    </xdr:from>
    <xdr:to>
      <xdr:col>4</xdr:col>
      <xdr:colOff>911679</xdr:colOff>
      <xdr:row>242</xdr:row>
      <xdr:rowOff>884463</xdr:rowOff>
    </xdr:to>
    <xdr:pic>
      <xdr:nvPicPr>
        <xdr:cNvPr id="749" name="Picture 6" descr="Screen Clippin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227978970"/>
          <a:ext cx="758825" cy="824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241</xdr:row>
      <xdr:rowOff>114300</xdr:rowOff>
    </xdr:from>
    <xdr:to>
      <xdr:col>4</xdr:col>
      <xdr:colOff>933450</xdr:colOff>
      <xdr:row>241</xdr:row>
      <xdr:rowOff>828675</xdr:rowOff>
    </xdr:to>
    <xdr:pic>
      <xdr:nvPicPr>
        <xdr:cNvPr id="751" name="Picture 1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82175" y="22701694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213842</xdr:colOff>
      <xdr:row>220</xdr:row>
      <xdr:rowOff>100884</xdr:rowOff>
    </xdr:from>
    <xdr:to>
      <xdr:col>4</xdr:col>
      <xdr:colOff>1090142</xdr:colOff>
      <xdr:row>220</xdr:row>
      <xdr:rowOff>786684</xdr:rowOff>
    </xdr:to>
    <xdr:pic>
      <xdr:nvPicPr>
        <xdr:cNvPr id="752" name="圖片 1" descr="畫面剪輯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6460" y="210820000"/>
          <a:ext cx="876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308558</xdr:colOff>
      <xdr:row>287</xdr:row>
      <xdr:rowOff>74686</xdr:rowOff>
    </xdr:from>
    <xdr:to>
      <xdr:col>6</xdr:col>
      <xdr:colOff>1797678</xdr:colOff>
      <xdr:row>287</xdr:row>
      <xdr:rowOff>853479</xdr:rowOff>
    </xdr:to>
    <xdr:pic>
      <xdr:nvPicPr>
        <xdr:cNvPr id="753" name="圖片 752" descr="畫面剪輯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0775" y="248339610"/>
          <a:ext cx="1301750" cy="779145"/>
        </a:xfrm>
        <a:prstGeom prst="rect">
          <a:avLst/>
        </a:prstGeom>
      </xdr:spPr>
    </xdr:pic>
    <xdr:clientData/>
  </xdr:twoCellAnchor>
  <xdr:twoCellAnchor>
    <xdr:from>
      <xdr:col>6</xdr:col>
      <xdr:colOff>201233</xdr:colOff>
      <xdr:row>210</xdr:row>
      <xdr:rowOff>93909</xdr:rowOff>
    </xdr:from>
    <xdr:to>
      <xdr:col>6</xdr:col>
      <xdr:colOff>1992183</xdr:colOff>
      <xdr:row>210</xdr:row>
      <xdr:rowOff>951279</xdr:rowOff>
    </xdr:to>
    <xdr:pic>
      <xdr:nvPicPr>
        <xdr:cNvPr id="754" name="圖片 753" descr="畫面剪輯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460" y="200640315"/>
          <a:ext cx="1409065" cy="857885"/>
        </a:xfrm>
        <a:prstGeom prst="rect">
          <a:avLst/>
        </a:prstGeom>
      </xdr:spPr>
    </xdr:pic>
    <xdr:clientData/>
  </xdr:twoCellAnchor>
  <xdr:twoCellAnchor>
    <xdr:from>
      <xdr:col>6</xdr:col>
      <xdr:colOff>107324</xdr:colOff>
      <xdr:row>220</xdr:row>
      <xdr:rowOff>53661</xdr:rowOff>
    </xdr:from>
    <xdr:to>
      <xdr:col>6</xdr:col>
      <xdr:colOff>1803011</xdr:colOff>
      <xdr:row>220</xdr:row>
      <xdr:rowOff>882452</xdr:rowOff>
    </xdr:to>
    <xdr:pic>
      <xdr:nvPicPr>
        <xdr:cNvPr id="755" name="圖片 754" descr="畫面剪輯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115" y="210773010"/>
          <a:ext cx="1502410" cy="828675"/>
        </a:xfrm>
        <a:prstGeom prst="rect">
          <a:avLst/>
        </a:prstGeom>
      </xdr:spPr>
    </xdr:pic>
    <xdr:clientData/>
  </xdr:twoCellAnchor>
  <xdr:twoCellAnchor>
    <xdr:from>
      <xdr:col>6</xdr:col>
      <xdr:colOff>160985</xdr:colOff>
      <xdr:row>241</xdr:row>
      <xdr:rowOff>53662</xdr:rowOff>
    </xdr:from>
    <xdr:to>
      <xdr:col>6</xdr:col>
      <xdr:colOff>1828093</xdr:colOff>
      <xdr:row>241</xdr:row>
      <xdr:rowOff>949137</xdr:rowOff>
    </xdr:to>
    <xdr:pic>
      <xdr:nvPicPr>
        <xdr:cNvPr id="756" name="圖片 755" descr="畫面剪輯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3455" y="226955985"/>
          <a:ext cx="1449070" cy="895350"/>
        </a:xfrm>
        <a:prstGeom prst="rect">
          <a:avLst/>
        </a:prstGeom>
      </xdr:spPr>
    </xdr:pic>
    <xdr:clientData/>
  </xdr:twoCellAnchor>
  <xdr:twoCellAnchor>
    <xdr:from>
      <xdr:col>6</xdr:col>
      <xdr:colOff>228063</xdr:colOff>
      <xdr:row>242</xdr:row>
      <xdr:rowOff>93908</xdr:rowOff>
    </xdr:from>
    <xdr:to>
      <xdr:col>6</xdr:col>
      <xdr:colOff>1961855</xdr:colOff>
      <xdr:row>242</xdr:row>
      <xdr:rowOff>951278</xdr:rowOff>
    </xdr:to>
    <xdr:pic>
      <xdr:nvPicPr>
        <xdr:cNvPr id="758" name="圖片 757" descr="畫面剪輯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765" y="228013260"/>
          <a:ext cx="1381760" cy="857885"/>
        </a:xfrm>
        <a:prstGeom prst="rect">
          <a:avLst/>
        </a:prstGeom>
      </xdr:spPr>
    </xdr:pic>
    <xdr:clientData/>
  </xdr:twoCellAnchor>
  <xdr:twoCellAnchor>
    <xdr:from>
      <xdr:col>4</xdr:col>
      <xdr:colOff>134155</xdr:colOff>
      <xdr:row>317</xdr:row>
      <xdr:rowOff>93909</xdr:rowOff>
    </xdr:from>
    <xdr:to>
      <xdr:col>4</xdr:col>
      <xdr:colOff>953305</xdr:colOff>
      <xdr:row>317</xdr:row>
      <xdr:rowOff>913059</xdr:rowOff>
    </xdr:to>
    <xdr:pic>
      <xdr:nvPicPr>
        <xdr:cNvPr id="915" name="圖片 13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97085" y="26564463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354</xdr:row>
      <xdr:rowOff>104775</xdr:rowOff>
    </xdr:from>
    <xdr:to>
      <xdr:col>4</xdr:col>
      <xdr:colOff>895350</xdr:colOff>
      <xdr:row>354</xdr:row>
      <xdr:rowOff>857250</xdr:rowOff>
    </xdr:to>
    <xdr:pic>
      <xdr:nvPicPr>
        <xdr:cNvPr id="936" name="圖片 187" descr="畫面剪輯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01225" y="303295050"/>
          <a:ext cx="657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254894</xdr:colOff>
      <xdr:row>354</xdr:row>
      <xdr:rowOff>127395</xdr:rowOff>
    </xdr:from>
    <xdr:to>
      <xdr:col>6</xdr:col>
      <xdr:colOff>1878169</xdr:colOff>
      <xdr:row>354</xdr:row>
      <xdr:rowOff>1009791</xdr:rowOff>
    </xdr:to>
    <xdr:pic>
      <xdr:nvPicPr>
        <xdr:cNvPr id="937" name="圖片 936" descr="畫面剪輯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435" y="303317275"/>
          <a:ext cx="1355090" cy="882650"/>
        </a:xfrm>
        <a:prstGeom prst="rect">
          <a:avLst/>
        </a:prstGeom>
      </xdr:spPr>
    </xdr:pic>
    <xdr:clientData/>
  </xdr:twoCellAnchor>
  <xdr:twoCellAnchor>
    <xdr:from>
      <xdr:col>4</xdr:col>
      <xdr:colOff>197069</xdr:colOff>
      <xdr:row>445</xdr:row>
      <xdr:rowOff>82112</xdr:rowOff>
    </xdr:from>
    <xdr:to>
      <xdr:col>4</xdr:col>
      <xdr:colOff>940019</xdr:colOff>
      <xdr:row>445</xdr:row>
      <xdr:rowOff>872687</xdr:rowOff>
    </xdr:to>
    <xdr:pic>
      <xdr:nvPicPr>
        <xdr:cNvPr id="953" name="圖片 1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59950" y="386147310"/>
          <a:ext cx="7429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229914</xdr:colOff>
      <xdr:row>260</xdr:row>
      <xdr:rowOff>114958</xdr:rowOff>
    </xdr:from>
    <xdr:to>
      <xdr:col>4</xdr:col>
      <xdr:colOff>801415</xdr:colOff>
      <xdr:row>260</xdr:row>
      <xdr:rowOff>910809</xdr:rowOff>
    </xdr:to>
    <xdr:pic>
      <xdr:nvPicPr>
        <xdr:cNvPr id="955" name="圖片 50" descr="畫面剪輯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2970" y="392981180"/>
          <a:ext cx="571500" cy="795655"/>
        </a:xfrm>
        <a:prstGeom prst="rect">
          <a:avLst/>
        </a:prstGeom>
      </xdr:spPr>
    </xdr:pic>
    <xdr:clientData/>
  </xdr:twoCellAnchor>
  <xdr:twoCellAnchor>
    <xdr:from>
      <xdr:col>4</xdr:col>
      <xdr:colOff>147802</xdr:colOff>
      <xdr:row>261</xdr:row>
      <xdr:rowOff>147802</xdr:rowOff>
    </xdr:from>
    <xdr:to>
      <xdr:col>4</xdr:col>
      <xdr:colOff>733214</xdr:colOff>
      <xdr:row>261</xdr:row>
      <xdr:rowOff>897728</xdr:rowOff>
    </xdr:to>
    <xdr:pic>
      <xdr:nvPicPr>
        <xdr:cNvPr id="956" name="圖片 49" descr="畫面剪輯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0420" y="395280515"/>
          <a:ext cx="585470" cy="749935"/>
        </a:xfrm>
        <a:prstGeom prst="rect">
          <a:avLst/>
        </a:prstGeom>
      </xdr:spPr>
    </xdr:pic>
    <xdr:clientData/>
  </xdr:twoCellAnchor>
  <xdr:twoCellAnchor>
    <xdr:from>
      <xdr:col>4</xdr:col>
      <xdr:colOff>114957</xdr:colOff>
      <xdr:row>259</xdr:row>
      <xdr:rowOff>82112</xdr:rowOff>
    </xdr:from>
    <xdr:to>
      <xdr:col>4</xdr:col>
      <xdr:colOff>903232</xdr:colOff>
      <xdr:row>259</xdr:row>
      <xdr:rowOff>870387</xdr:rowOff>
    </xdr:to>
    <xdr:pic>
      <xdr:nvPicPr>
        <xdr:cNvPr id="957" name="Picture 3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8035" y="394081635"/>
          <a:ext cx="788035" cy="788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230444</xdr:colOff>
      <xdr:row>393</xdr:row>
      <xdr:rowOff>92177</xdr:rowOff>
    </xdr:from>
    <xdr:to>
      <xdr:col>4</xdr:col>
      <xdr:colOff>952500</xdr:colOff>
      <xdr:row>393</xdr:row>
      <xdr:rowOff>927496</xdr:rowOff>
    </xdr:to>
    <xdr:pic>
      <xdr:nvPicPr>
        <xdr:cNvPr id="81" name="圖片 80" descr="畫面剪輯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533" y="304400564"/>
          <a:ext cx="722056" cy="835319"/>
        </a:xfrm>
        <a:prstGeom prst="rect">
          <a:avLst/>
        </a:prstGeom>
      </xdr:spPr>
    </xdr:pic>
    <xdr:clientData/>
  </xdr:twoCellAnchor>
  <xdr:twoCellAnchor>
    <xdr:from>
      <xdr:col>4</xdr:col>
      <xdr:colOff>322621</xdr:colOff>
      <xdr:row>394</xdr:row>
      <xdr:rowOff>138267</xdr:rowOff>
    </xdr:from>
    <xdr:to>
      <xdr:col>4</xdr:col>
      <xdr:colOff>844960</xdr:colOff>
      <xdr:row>394</xdr:row>
      <xdr:rowOff>938395</xdr:rowOff>
    </xdr:to>
    <xdr:pic>
      <xdr:nvPicPr>
        <xdr:cNvPr id="200" name="圖片 199" descr="畫面剪輯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710" y="305460606"/>
          <a:ext cx="522339" cy="800128"/>
        </a:xfrm>
        <a:prstGeom prst="rect">
          <a:avLst/>
        </a:prstGeom>
      </xdr:spPr>
    </xdr:pic>
    <xdr:clientData/>
  </xdr:twoCellAnchor>
  <xdr:twoCellAnchor>
    <xdr:from>
      <xdr:col>4</xdr:col>
      <xdr:colOff>307259</xdr:colOff>
      <xdr:row>395</xdr:row>
      <xdr:rowOff>76815</xdr:rowOff>
    </xdr:from>
    <xdr:to>
      <xdr:col>4</xdr:col>
      <xdr:colOff>860323</xdr:colOff>
      <xdr:row>395</xdr:row>
      <xdr:rowOff>905148</xdr:rowOff>
    </xdr:to>
    <xdr:pic>
      <xdr:nvPicPr>
        <xdr:cNvPr id="827" name="圖片 826" descr="畫面剪輯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8348" y="306413105"/>
          <a:ext cx="553064" cy="828333"/>
        </a:xfrm>
        <a:prstGeom prst="rect">
          <a:avLst/>
        </a:prstGeom>
      </xdr:spPr>
    </xdr:pic>
    <xdr:clientData/>
  </xdr:twoCellAnchor>
  <xdr:twoCellAnchor>
    <xdr:from>
      <xdr:col>4</xdr:col>
      <xdr:colOff>168993</xdr:colOff>
      <xdr:row>396</xdr:row>
      <xdr:rowOff>76816</xdr:rowOff>
    </xdr:from>
    <xdr:to>
      <xdr:col>4</xdr:col>
      <xdr:colOff>1149923</xdr:colOff>
      <xdr:row>396</xdr:row>
      <xdr:rowOff>983226</xdr:rowOff>
    </xdr:to>
    <xdr:pic>
      <xdr:nvPicPr>
        <xdr:cNvPr id="856" name="圖片 855" descr="畫面剪輯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0082" y="307427058"/>
          <a:ext cx="980930" cy="906410"/>
        </a:xfrm>
        <a:prstGeom prst="rect">
          <a:avLst/>
        </a:prstGeom>
      </xdr:spPr>
    </xdr:pic>
    <xdr:clientData/>
  </xdr:twoCellAnchor>
  <xdr:twoCellAnchor>
    <xdr:from>
      <xdr:col>4</xdr:col>
      <xdr:colOff>245806</xdr:colOff>
      <xdr:row>397</xdr:row>
      <xdr:rowOff>46089</xdr:rowOff>
    </xdr:from>
    <xdr:to>
      <xdr:col>4</xdr:col>
      <xdr:colOff>1029314</xdr:colOff>
      <xdr:row>397</xdr:row>
      <xdr:rowOff>935625</xdr:rowOff>
    </xdr:to>
    <xdr:pic>
      <xdr:nvPicPr>
        <xdr:cNvPr id="864" name="圖片 863" descr="畫面剪輯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6895" y="308410283"/>
          <a:ext cx="783508" cy="889536"/>
        </a:xfrm>
        <a:prstGeom prst="rect">
          <a:avLst/>
        </a:prstGeom>
      </xdr:spPr>
    </xdr:pic>
    <xdr:clientData/>
  </xdr:twoCellAnchor>
  <xdr:twoCellAnchor>
    <xdr:from>
      <xdr:col>4</xdr:col>
      <xdr:colOff>199717</xdr:colOff>
      <xdr:row>398</xdr:row>
      <xdr:rowOff>76815</xdr:rowOff>
    </xdr:from>
    <xdr:to>
      <xdr:col>4</xdr:col>
      <xdr:colOff>1086348</xdr:colOff>
      <xdr:row>398</xdr:row>
      <xdr:rowOff>952500</xdr:rowOff>
    </xdr:to>
    <xdr:pic>
      <xdr:nvPicPr>
        <xdr:cNvPr id="916" name="圖片 915" descr="畫面剪輯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0806" y="309454960"/>
          <a:ext cx="886631" cy="875685"/>
        </a:xfrm>
        <a:prstGeom prst="rect">
          <a:avLst/>
        </a:prstGeom>
      </xdr:spPr>
    </xdr:pic>
    <xdr:clientData/>
  </xdr:twoCellAnchor>
  <xdr:twoCellAnchor>
    <xdr:from>
      <xdr:col>4</xdr:col>
      <xdr:colOff>215081</xdr:colOff>
      <xdr:row>399</xdr:row>
      <xdr:rowOff>122903</xdr:rowOff>
    </xdr:from>
    <xdr:to>
      <xdr:col>4</xdr:col>
      <xdr:colOff>971047</xdr:colOff>
      <xdr:row>399</xdr:row>
      <xdr:rowOff>966248</xdr:rowOff>
    </xdr:to>
    <xdr:pic>
      <xdr:nvPicPr>
        <xdr:cNvPr id="925" name="圖片 924" descr="畫面剪輯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6170" y="310515000"/>
          <a:ext cx="755966" cy="843345"/>
        </a:xfrm>
        <a:prstGeom prst="rect">
          <a:avLst/>
        </a:prstGeom>
      </xdr:spPr>
    </xdr:pic>
    <xdr:clientData/>
  </xdr:twoCellAnchor>
  <xdr:twoCellAnchor>
    <xdr:from>
      <xdr:col>6</xdr:col>
      <xdr:colOff>122903</xdr:colOff>
      <xdr:row>393</xdr:row>
      <xdr:rowOff>184355</xdr:rowOff>
    </xdr:from>
    <xdr:to>
      <xdr:col>6</xdr:col>
      <xdr:colOff>1525991</xdr:colOff>
      <xdr:row>393</xdr:row>
      <xdr:rowOff>906412</xdr:rowOff>
    </xdr:to>
    <xdr:pic>
      <xdr:nvPicPr>
        <xdr:cNvPr id="977" name="圖片 976" descr="畫面剪輯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1492" y="304492742"/>
          <a:ext cx="1403088" cy="722057"/>
        </a:xfrm>
        <a:prstGeom prst="rect">
          <a:avLst/>
        </a:prstGeom>
      </xdr:spPr>
    </xdr:pic>
    <xdr:clientData/>
  </xdr:twoCellAnchor>
  <xdr:twoCellAnchor>
    <xdr:from>
      <xdr:col>6</xdr:col>
      <xdr:colOff>61452</xdr:colOff>
      <xdr:row>394</xdr:row>
      <xdr:rowOff>153629</xdr:rowOff>
    </xdr:from>
    <xdr:to>
      <xdr:col>6</xdr:col>
      <xdr:colOff>1579164</xdr:colOff>
      <xdr:row>394</xdr:row>
      <xdr:rowOff>891048</xdr:rowOff>
    </xdr:to>
    <xdr:pic>
      <xdr:nvPicPr>
        <xdr:cNvPr id="978" name="圖片 977" descr="畫面剪輯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0041" y="305475968"/>
          <a:ext cx="1517712" cy="737419"/>
        </a:xfrm>
        <a:prstGeom prst="rect">
          <a:avLst/>
        </a:prstGeom>
      </xdr:spPr>
    </xdr:pic>
    <xdr:clientData/>
  </xdr:twoCellAnchor>
  <xdr:twoCellAnchor>
    <xdr:from>
      <xdr:col>6</xdr:col>
      <xdr:colOff>15363</xdr:colOff>
      <xdr:row>395</xdr:row>
      <xdr:rowOff>138266</xdr:rowOff>
    </xdr:from>
    <xdr:to>
      <xdr:col>6</xdr:col>
      <xdr:colOff>1567016</xdr:colOff>
      <xdr:row>395</xdr:row>
      <xdr:rowOff>895621</xdr:rowOff>
    </xdr:to>
    <xdr:pic>
      <xdr:nvPicPr>
        <xdr:cNvPr id="979" name="圖片 978" descr="畫面剪輯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3952" y="306474556"/>
          <a:ext cx="1551653" cy="757355"/>
        </a:xfrm>
        <a:prstGeom prst="rect">
          <a:avLst/>
        </a:prstGeom>
      </xdr:spPr>
    </xdr:pic>
    <xdr:clientData/>
  </xdr:twoCellAnchor>
  <xdr:twoCellAnchor>
    <xdr:from>
      <xdr:col>6</xdr:col>
      <xdr:colOff>92177</xdr:colOff>
      <xdr:row>396</xdr:row>
      <xdr:rowOff>138267</xdr:rowOff>
    </xdr:from>
    <xdr:to>
      <xdr:col>6</xdr:col>
      <xdr:colOff>1567015</xdr:colOff>
      <xdr:row>396</xdr:row>
      <xdr:rowOff>845142</xdr:rowOff>
    </xdr:to>
    <xdr:pic>
      <xdr:nvPicPr>
        <xdr:cNvPr id="980" name="圖片 979" descr="畫面剪輯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0766" y="307488509"/>
          <a:ext cx="1474838" cy="706875"/>
        </a:xfrm>
        <a:prstGeom prst="rect">
          <a:avLst/>
        </a:prstGeom>
      </xdr:spPr>
    </xdr:pic>
    <xdr:clientData/>
  </xdr:twoCellAnchor>
  <xdr:twoCellAnchor>
    <xdr:from>
      <xdr:col>6</xdr:col>
      <xdr:colOff>46088</xdr:colOff>
      <xdr:row>397</xdr:row>
      <xdr:rowOff>107540</xdr:rowOff>
    </xdr:from>
    <xdr:to>
      <xdr:col>6</xdr:col>
      <xdr:colOff>1597741</xdr:colOff>
      <xdr:row>397</xdr:row>
      <xdr:rowOff>869429</xdr:rowOff>
    </xdr:to>
    <xdr:pic>
      <xdr:nvPicPr>
        <xdr:cNvPr id="981" name="圖片 980" descr="畫面剪輯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4677" y="308471734"/>
          <a:ext cx="1551653" cy="761889"/>
        </a:xfrm>
        <a:prstGeom prst="rect">
          <a:avLst/>
        </a:prstGeom>
      </xdr:spPr>
    </xdr:pic>
    <xdr:clientData/>
  </xdr:twoCellAnchor>
  <xdr:twoCellAnchor>
    <xdr:from>
      <xdr:col>6</xdr:col>
      <xdr:colOff>30725</xdr:colOff>
      <xdr:row>398</xdr:row>
      <xdr:rowOff>107540</xdr:rowOff>
    </xdr:from>
    <xdr:to>
      <xdr:col>6</xdr:col>
      <xdr:colOff>1576270</xdr:colOff>
      <xdr:row>398</xdr:row>
      <xdr:rowOff>875685</xdr:rowOff>
    </xdr:to>
    <xdr:pic>
      <xdr:nvPicPr>
        <xdr:cNvPr id="982" name="圖片 981" descr="畫面剪輯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9314" y="309485685"/>
          <a:ext cx="1545545" cy="768145"/>
        </a:xfrm>
        <a:prstGeom prst="rect">
          <a:avLst/>
        </a:prstGeom>
      </xdr:spPr>
    </xdr:pic>
    <xdr:clientData/>
  </xdr:twoCellAnchor>
  <xdr:twoCellAnchor>
    <xdr:from>
      <xdr:col>6</xdr:col>
      <xdr:colOff>15363</xdr:colOff>
      <xdr:row>399</xdr:row>
      <xdr:rowOff>138266</xdr:rowOff>
    </xdr:from>
    <xdr:to>
      <xdr:col>6</xdr:col>
      <xdr:colOff>1567016</xdr:colOff>
      <xdr:row>399</xdr:row>
      <xdr:rowOff>895621</xdr:rowOff>
    </xdr:to>
    <xdr:pic>
      <xdr:nvPicPr>
        <xdr:cNvPr id="983" name="圖片 982" descr="畫面剪輯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3952" y="310530363"/>
          <a:ext cx="1551653" cy="757355"/>
        </a:xfrm>
        <a:prstGeom prst="rect">
          <a:avLst/>
        </a:prstGeom>
      </xdr:spPr>
    </xdr:pic>
    <xdr:clientData/>
  </xdr:twoCellAnchor>
  <xdr:twoCellAnchor>
    <xdr:from>
      <xdr:col>4</xdr:col>
      <xdr:colOff>153630</xdr:colOff>
      <xdr:row>367</xdr:row>
      <xdr:rowOff>107541</xdr:rowOff>
    </xdr:from>
    <xdr:to>
      <xdr:col>4</xdr:col>
      <xdr:colOff>891050</xdr:colOff>
      <xdr:row>367</xdr:row>
      <xdr:rowOff>910753</xdr:rowOff>
    </xdr:to>
    <xdr:pic>
      <xdr:nvPicPr>
        <xdr:cNvPr id="984" name="圖片 983" descr="畫面剪輯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3307" y="304415928"/>
          <a:ext cx="737420" cy="803212"/>
        </a:xfrm>
        <a:prstGeom prst="rect">
          <a:avLst/>
        </a:prstGeom>
      </xdr:spPr>
    </xdr:pic>
    <xdr:clientData/>
  </xdr:twoCellAnchor>
  <xdr:twoCellAnchor>
    <xdr:from>
      <xdr:col>4</xdr:col>
      <xdr:colOff>199718</xdr:colOff>
      <xdr:row>368</xdr:row>
      <xdr:rowOff>138266</xdr:rowOff>
    </xdr:from>
    <xdr:to>
      <xdr:col>4</xdr:col>
      <xdr:colOff>937138</xdr:colOff>
      <xdr:row>368</xdr:row>
      <xdr:rowOff>941478</xdr:rowOff>
    </xdr:to>
    <xdr:pic>
      <xdr:nvPicPr>
        <xdr:cNvPr id="1005" name="圖片 1004" descr="畫面剪輯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9395" y="305460605"/>
          <a:ext cx="737420" cy="803212"/>
        </a:xfrm>
        <a:prstGeom prst="rect">
          <a:avLst/>
        </a:prstGeom>
      </xdr:spPr>
    </xdr:pic>
    <xdr:clientData/>
  </xdr:twoCellAnchor>
  <xdr:twoCellAnchor>
    <xdr:from>
      <xdr:col>4</xdr:col>
      <xdr:colOff>245807</xdr:colOff>
      <xdr:row>369</xdr:row>
      <xdr:rowOff>138266</xdr:rowOff>
    </xdr:from>
    <xdr:to>
      <xdr:col>4</xdr:col>
      <xdr:colOff>983227</xdr:colOff>
      <xdr:row>369</xdr:row>
      <xdr:rowOff>941478</xdr:rowOff>
    </xdr:to>
    <xdr:pic>
      <xdr:nvPicPr>
        <xdr:cNvPr id="1006" name="圖片 1005" descr="畫面剪輯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5484" y="306474556"/>
          <a:ext cx="737420" cy="803212"/>
        </a:xfrm>
        <a:prstGeom prst="rect">
          <a:avLst/>
        </a:prstGeom>
      </xdr:spPr>
    </xdr:pic>
    <xdr:clientData/>
  </xdr:twoCellAnchor>
  <xdr:twoCellAnchor>
    <xdr:from>
      <xdr:col>4</xdr:col>
      <xdr:colOff>199717</xdr:colOff>
      <xdr:row>370</xdr:row>
      <xdr:rowOff>122903</xdr:rowOff>
    </xdr:from>
    <xdr:to>
      <xdr:col>4</xdr:col>
      <xdr:colOff>937137</xdr:colOff>
      <xdr:row>370</xdr:row>
      <xdr:rowOff>926115</xdr:rowOff>
    </xdr:to>
    <xdr:pic>
      <xdr:nvPicPr>
        <xdr:cNvPr id="1007" name="圖片 1006" descr="畫面剪輯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9394" y="307473145"/>
          <a:ext cx="737420" cy="803212"/>
        </a:xfrm>
        <a:prstGeom prst="rect">
          <a:avLst/>
        </a:prstGeom>
      </xdr:spPr>
    </xdr:pic>
    <xdr:clientData/>
  </xdr:twoCellAnchor>
  <xdr:twoCellAnchor>
    <xdr:from>
      <xdr:col>4</xdr:col>
      <xdr:colOff>276532</xdr:colOff>
      <xdr:row>363</xdr:row>
      <xdr:rowOff>92178</xdr:rowOff>
    </xdr:from>
    <xdr:to>
      <xdr:col>4</xdr:col>
      <xdr:colOff>968127</xdr:colOff>
      <xdr:row>363</xdr:row>
      <xdr:rowOff>860323</xdr:rowOff>
    </xdr:to>
    <xdr:pic>
      <xdr:nvPicPr>
        <xdr:cNvPr id="985" name="圖片 984" descr="畫面剪輯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209" y="308456372"/>
          <a:ext cx="691595" cy="768145"/>
        </a:xfrm>
        <a:prstGeom prst="rect">
          <a:avLst/>
        </a:prstGeom>
      </xdr:spPr>
    </xdr:pic>
    <xdr:clientData/>
  </xdr:twoCellAnchor>
  <xdr:twoCellAnchor>
    <xdr:from>
      <xdr:col>4</xdr:col>
      <xdr:colOff>168992</xdr:colOff>
      <xdr:row>364</xdr:row>
      <xdr:rowOff>138266</xdr:rowOff>
    </xdr:from>
    <xdr:to>
      <xdr:col>4</xdr:col>
      <xdr:colOff>860587</xdr:colOff>
      <xdr:row>364</xdr:row>
      <xdr:rowOff>906411</xdr:rowOff>
    </xdr:to>
    <xdr:pic>
      <xdr:nvPicPr>
        <xdr:cNvPr id="1010" name="圖片 1009" descr="畫面剪輯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8669" y="309516411"/>
          <a:ext cx="691595" cy="768145"/>
        </a:xfrm>
        <a:prstGeom prst="rect">
          <a:avLst/>
        </a:prstGeom>
      </xdr:spPr>
    </xdr:pic>
    <xdr:clientData/>
  </xdr:twoCellAnchor>
  <xdr:twoCellAnchor>
    <xdr:from>
      <xdr:col>4</xdr:col>
      <xdr:colOff>215081</xdr:colOff>
      <xdr:row>365</xdr:row>
      <xdr:rowOff>153629</xdr:rowOff>
    </xdr:from>
    <xdr:to>
      <xdr:col>4</xdr:col>
      <xdr:colOff>906676</xdr:colOff>
      <xdr:row>365</xdr:row>
      <xdr:rowOff>921774</xdr:rowOff>
    </xdr:to>
    <xdr:pic>
      <xdr:nvPicPr>
        <xdr:cNvPr id="1011" name="圖片 1010" descr="畫面剪輯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4758" y="310545726"/>
          <a:ext cx="691595" cy="768145"/>
        </a:xfrm>
        <a:prstGeom prst="rect">
          <a:avLst/>
        </a:prstGeom>
      </xdr:spPr>
    </xdr:pic>
    <xdr:clientData/>
  </xdr:twoCellAnchor>
  <xdr:twoCellAnchor>
    <xdr:from>
      <xdr:col>4</xdr:col>
      <xdr:colOff>230443</xdr:colOff>
      <xdr:row>366</xdr:row>
      <xdr:rowOff>92178</xdr:rowOff>
    </xdr:from>
    <xdr:to>
      <xdr:col>4</xdr:col>
      <xdr:colOff>922038</xdr:colOff>
      <xdr:row>366</xdr:row>
      <xdr:rowOff>860323</xdr:rowOff>
    </xdr:to>
    <xdr:pic>
      <xdr:nvPicPr>
        <xdr:cNvPr id="1012" name="圖片 1011" descr="畫面剪輯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0120" y="311498226"/>
          <a:ext cx="691595" cy="768145"/>
        </a:xfrm>
        <a:prstGeom prst="rect">
          <a:avLst/>
        </a:prstGeom>
      </xdr:spPr>
    </xdr:pic>
    <xdr:clientData/>
  </xdr:twoCellAnchor>
  <xdr:twoCellAnchor>
    <xdr:from>
      <xdr:col>6</xdr:col>
      <xdr:colOff>138266</xdr:colOff>
      <xdr:row>365</xdr:row>
      <xdr:rowOff>92178</xdr:rowOff>
    </xdr:from>
    <xdr:to>
      <xdr:col>6</xdr:col>
      <xdr:colOff>1567018</xdr:colOff>
      <xdr:row>365</xdr:row>
      <xdr:rowOff>844758</xdr:rowOff>
    </xdr:to>
    <xdr:pic>
      <xdr:nvPicPr>
        <xdr:cNvPr id="986" name="圖片 985" descr="畫面剪輯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5443" y="310484275"/>
          <a:ext cx="1428752" cy="752580"/>
        </a:xfrm>
        <a:prstGeom prst="rect">
          <a:avLst/>
        </a:prstGeom>
      </xdr:spPr>
    </xdr:pic>
    <xdr:clientData/>
  </xdr:twoCellAnchor>
  <xdr:twoCellAnchor>
    <xdr:from>
      <xdr:col>6</xdr:col>
      <xdr:colOff>61452</xdr:colOff>
      <xdr:row>366</xdr:row>
      <xdr:rowOff>92177</xdr:rowOff>
    </xdr:from>
    <xdr:to>
      <xdr:col>6</xdr:col>
      <xdr:colOff>1528507</xdr:colOff>
      <xdr:row>366</xdr:row>
      <xdr:rowOff>844757</xdr:rowOff>
    </xdr:to>
    <xdr:pic>
      <xdr:nvPicPr>
        <xdr:cNvPr id="987" name="圖片 986" descr="畫面剪輯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8629" y="311498225"/>
          <a:ext cx="1467055" cy="752580"/>
        </a:xfrm>
        <a:prstGeom prst="rect">
          <a:avLst/>
        </a:prstGeom>
      </xdr:spPr>
    </xdr:pic>
    <xdr:clientData/>
  </xdr:twoCellAnchor>
  <xdr:twoCellAnchor>
    <xdr:from>
      <xdr:col>6</xdr:col>
      <xdr:colOff>92177</xdr:colOff>
      <xdr:row>363</xdr:row>
      <xdr:rowOff>122903</xdr:rowOff>
    </xdr:from>
    <xdr:to>
      <xdr:col>6</xdr:col>
      <xdr:colOff>1521127</xdr:colOff>
      <xdr:row>363</xdr:row>
      <xdr:rowOff>885009</xdr:rowOff>
    </xdr:to>
    <xdr:pic>
      <xdr:nvPicPr>
        <xdr:cNvPr id="988" name="圖片 987" descr="畫面剪輯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5242" y="64585645"/>
          <a:ext cx="1428950" cy="762106"/>
        </a:xfrm>
        <a:prstGeom prst="rect">
          <a:avLst/>
        </a:prstGeom>
      </xdr:spPr>
    </xdr:pic>
    <xdr:clientData/>
  </xdr:twoCellAnchor>
  <xdr:twoCellAnchor>
    <xdr:from>
      <xdr:col>6</xdr:col>
      <xdr:colOff>122903</xdr:colOff>
      <xdr:row>364</xdr:row>
      <xdr:rowOff>168992</xdr:rowOff>
    </xdr:from>
    <xdr:to>
      <xdr:col>6</xdr:col>
      <xdr:colOff>1570905</xdr:colOff>
      <xdr:row>364</xdr:row>
      <xdr:rowOff>845361</xdr:rowOff>
    </xdr:to>
    <xdr:pic>
      <xdr:nvPicPr>
        <xdr:cNvPr id="1004" name="圖片 1003" descr="畫面剪輯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5968" y="65645686"/>
          <a:ext cx="1448002" cy="676369"/>
        </a:xfrm>
        <a:prstGeom prst="rect">
          <a:avLst/>
        </a:prstGeom>
      </xdr:spPr>
    </xdr:pic>
    <xdr:clientData/>
  </xdr:twoCellAnchor>
  <xdr:twoCellAnchor>
    <xdr:from>
      <xdr:col>6</xdr:col>
      <xdr:colOff>107540</xdr:colOff>
      <xdr:row>370</xdr:row>
      <xdr:rowOff>92177</xdr:rowOff>
    </xdr:from>
    <xdr:to>
      <xdr:col>6</xdr:col>
      <xdr:colOff>1507911</xdr:colOff>
      <xdr:row>370</xdr:row>
      <xdr:rowOff>854283</xdr:rowOff>
    </xdr:to>
    <xdr:pic>
      <xdr:nvPicPr>
        <xdr:cNvPr id="1008" name="圖片 1007" descr="畫面剪輯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4717" y="307442419"/>
          <a:ext cx="1400371" cy="762106"/>
        </a:xfrm>
        <a:prstGeom prst="rect">
          <a:avLst/>
        </a:prstGeom>
      </xdr:spPr>
    </xdr:pic>
    <xdr:clientData/>
  </xdr:twoCellAnchor>
  <xdr:twoCellAnchor>
    <xdr:from>
      <xdr:col>6</xdr:col>
      <xdr:colOff>107541</xdr:colOff>
      <xdr:row>369</xdr:row>
      <xdr:rowOff>184355</xdr:rowOff>
    </xdr:from>
    <xdr:to>
      <xdr:col>6</xdr:col>
      <xdr:colOff>1490203</xdr:colOff>
      <xdr:row>369</xdr:row>
      <xdr:rowOff>917882</xdr:rowOff>
    </xdr:to>
    <xdr:pic>
      <xdr:nvPicPr>
        <xdr:cNvPr id="1013" name="圖片 1012" descr="畫面剪輯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4718" y="306520645"/>
          <a:ext cx="1382662" cy="733527"/>
        </a:xfrm>
        <a:prstGeom prst="rect">
          <a:avLst/>
        </a:prstGeom>
      </xdr:spPr>
    </xdr:pic>
    <xdr:clientData/>
  </xdr:twoCellAnchor>
  <xdr:twoCellAnchor>
    <xdr:from>
      <xdr:col>6</xdr:col>
      <xdr:colOff>76814</xdr:colOff>
      <xdr:row>368</xdr:row>
      <xdr:rowOff>122903</xdr:rowOff>
    </xdr:from>
    <xdr:to>
      <xdr:col>6</xdr:col>
      <xdr:colOff>1486711</xdr:colOff>
      <xdr:row>368</xdr:row>
      <xdr:rowOff>856430</xdr:rowOff>
    </xdr:to>
    <xdr:pic>
      <xdr:nvPicPr>
        <xdr:cNvPr id="1014" name="圖片 1013" descr="畫面剪輯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3991" y="305445242"/>
          <a:ext cx="1409897" cy="733527"/>
        </a:xfrm>
        <a:prstGeom prst="rect">
          <a:avLst/>
        </a:prstGeom>
      </xdr:spPr>
    </xdr:pic>
    <xdr:clientData/>
  </xdr:twoCellAnchor>
  <xdr:twoCellAnchor>
    <xdr:from>
      <xdr:col>6</xdr:col>
      <xdr:colOff>107541</xdr:colOff>
      <xdr:row>367</xdr:row>
      <xdr:rowOff>138267</xdr:rowOff>
    </xdr:from>
    <xdr:to>
      <xdr:col>6</xdr:col>
      <xdr:colOff>1498385</xdr:colOff>
      <xdr:row>367</xdr:row>
      <xdr:rowOff>814636</xdr:rowOff>
    </xdr:to>
    <xdr:pic>
      <xdr:nvPicPr>
        <xdr:cNvPr id="1015" name="圖片 1014" descr="畫面剪輯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4718" y="304446654"/>
          <a:ext cx="1390844" cy="676369"/>
        </a:xfrm>
        <a:prstGeom prst="rect">
          <a:avLst/>
        </a:prstGeom>
      </xdr:spPr>
    </xdr:pic>
    <xdr:clientData/>
  </xdr:twoCellAnchor>
  <xdr:twoCellAnchor>
    <xdr:from>
      <xdr:col>6</xdr:col>
      <xdr:colOff>92178</xdr:colOff>
      <xdr:row>445</xdr:row>
      <xdr:rowOff>168992</xdr:rowOff>
    </xdr:from>
    <xdr:to>
      <xdr:col>6</xdr:col>
      <xdr:colOff>1392077</xdr:colOff>
      <xdr:row>445</xdr:row>
      <xdr:rowOff>829597</xdr:rowOff>
    </xdr:to>
    <xdr:pic>
      <xdr:nvPicPr>
        <xdr:cNvPr id="1009" name="圖片 1008" descr="畫面剪輯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9355" y="400618427"/>
          <a:ext cx="1299899" cy="660605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438</xdr:row>
      <xdr:rowOff>85725</xdr:rowOff>
    </xdr:from>
    <xdr:to>
      <xdr:col>4</xdr:col>
      <xdr:colOff>1114425</xdr:colOff>
      <xdr:row>438</xdr:row>
      <xdr:rowOff>685800</xdr:rowOff>
    </xdr:to>
    <xdr:pic>
      <xdr:nvPicPr>
        <xdr:cNvPr id="1021" name="圖片 2" descr="畫面剪輯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5425" y="342572975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437</xdr:row>
      <xdr:rowOff>85725</xdr:rowOff>
    </xdr:from>
    <xdr:to>
      <xdr:col>4</xdr:col>
      <xdr:colOff>1114425</xdr:colOff>
      <xdr:row>437</xdr:row>
      <xdr:rowOff>685800</xdr:rowOff>
    </xdr:to>
    <xdr:pic>
      <xdr:nvPicPr>
        <xdr:cNvPr id="1022" name="圖片 2" descr="畫面剪輯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40550" y="343588975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440</xdr:row>
      <xdr:rowOff>85725</xdr:rowOff>
    </xdr:from>
    <xdr:to>
      <xdr:col>4</xdr:col>
      <xdr:colOff>1114425</xdr:colOff>
      <xdr:row>440</xdr:row>
      <xdr:rowOff>685800</xdr:rowOff>
    </xdr:to>
    <xdr:pic>
      <xdr:nvPicPr>
        <xdr:cNvPr id="1023" name="圖片 2" descr="畫面剪輯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40550" y="343588975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439</xdr:row>
      <xdr:rowOff>85725</xdr:rowOff>
    </xdr:from>
    <xdr:to>
      <xdr:col>4</xdr:col>
      <xdr:colOff>1114425</xdr:colOff>
      <xdr:row>439</xdr:row>
      <xdr:rowOff>685800</xdr:rowOff>
    </xdr:to>
    <xdr:pic>
      <xdr:nvPicPr>
        <xdr:cNvPr id="1061" name="圖片 2" descr="畫面剪輯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40550" y="343588975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437</xdr:row>
      <xdr:rowOff>114301</xdr:rowOff>
    </xdr:from>
    <xdr:to>
      <xdr:col>6</xdr:col>
      <xdr:colOff>1649730</xdr:colOff>
      <xdr:row>437</xdr:row>
      <xdr:rowOff>628651</xdr:rowOff>
    </xdr:to>
    <xdr:pic>
      <xdr:nvPicPr>
        <xdr:cNvPr id="1062" name="圖片 1061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5667375" y="40195501"/>
          <a:ext cx="1544955" cy="514350"/>
        </a:xfrm>
        <a:prstGeom prst="rect">
          <a:avLst/>
        </a:prstGeom>
      </xdr:spPr>
    </xdr:pic>
    <xdr:clientData/>
  </xdr:twoCellAnchor>
  <xdr:twoCellAnchor>
    <xdr:from>
      <xdr:col>6</xdr:col>
      <xdr:colOff>304800</xdr:colOff>
      <xdr:row>438</xdr:row>
      <xdr:rowOff>57150</xdr:rowOff>
    </xdr:from>
    <xdr:to>
      <xdr:col>6</xdr:col>
      <xdr:colOff>1400175</xdr:colOff>
      <xdr:row>438</xdr:row>
      <xdr:rowOff>645710</xdr:rowOff>
    </xdr:to>
    <xdr:pic>
      <xdr:nvPicPr>
        <xdr:cNvPr id="1063" name="圖片 1062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5867400" y="40843200"/>
          <a:ext cx="1095375" cy="588560"/>
        </a:xfrm>
        <a:prstGeom prst="rect">
          <a:avLst/>
        </a:prstGeom>
      </xdr:spPr>
    </xdr:pic>
    <xdr:clientData/>
  </xdr:twoCellAnchor>
  <xdr:twoCellAnchor>
    <xdr:from>
      <xdr:col>6</xdr:col>
      <xdr:colOff>238126</xdr:colOff>
      <xdr:row>440</xdr:row>
      <xdr:rowOff>76200</xdr:rowOff>
    </xdr:from>
    <xdr:to>
      <xdr:col>6</xdr:col>
      <xdr:colOff>1419226</xdr:colOff>
      <xdr:row>440</xdr:row>
      <xdr:rowOff>633941</xdr:rowOff>
    </xdr:to>
    <xdr:pic>
      <xdr:nvPicPr>
        <xdr:cNvPr id="1064" name="圖片 1063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5800726" y="42976800"/>
          <a:ext cx="1181100" cy="557741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439</xdr:row>
      <xdr:rowOff>85725</xdr:rowOff>
    </xdr:from>
    <xdr:to>
      <xdr:col>6</xdr:col>
      <xdr:colOff>1619389</xdr:colOff>
      <xdr:row>439</xdr:row>
      <xdr:rowOff>600075</xdr:rowOff>
    </xdr:to>
    <xdr:pic>
      <xdr:nvPicPr>
        <xdr:cNvPr id="1065" name="圖片 1064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5648325" y="41576625"/>
          <a:ext cx="1533664" cy="514350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159</xdr:row>
      <xdr:rowOff>104775</xdr:rowOff>
    </xdr:from>
    <xdr:to>
      <xdr:col>4</xdr:col>
      <xdr:colOff>1028700</xdr:colOff>
      <xdr:row>159</xdr:row>
      <xdr:rowOff>714375</xdr:rowOff>
    </xdr:to>
    <xdr:pic>
      <xdr:nvPicPr>
        <xdr:cNvPr id="1066" name="圖片 1" descr="畫面剪輯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1025" y="1506632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160</xdr:row>
      <xdr:rowOff>104775</xdr:rowOff>
    </xdr:from>
    <xdr:to>
      <xdr:col>4</xdr:col>
      <xdr:colOff>1028700</xdr:colOff>
      <xdr:row>160</xdr:row>
      <xdr:rowOff>714375</xdr:rowOff>
    </xdr:to>
    <xdr:pic>
      <xdr:nvPicPr>
        <xdr:cNvPr id="1067" name="圖片 1" descr="畫面剪輯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1025" y="1506632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161</xdr:row>
      <xdr:rowOff>104775</xdr:rowOff>
    </xdr:from>
    <xdr:to>
      <xdr:col>4</xdr:col>
      <xdr:colOff>1028700</xdr:colOff>
      <xdr:row>161</xdr:row>
      <xdr:rowOff>714375</xdr:rowOff>
    </xdr:to>
    <xdr:pic>
      <xdr:nvPicPr>
        <xdr:cNvPr id="1068" name="圖片 1" descr="畫面剪輯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1025" y="1506632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162</xdr:row>
      <xdr:rowOff>104775</xdr:rowOff>
    </xdr:from>
    <xdr:to>
      <xdr:col>4</xdr:col>
      <xdr:colOff>1028700</xdr:colOff>
      <xdr:row>162</xdr:row>
      <xdr:rowOff>714375</xdr:rowOff>
    </xdr:to>
    <xdr:pic>
      <xdr:nvPicPr>
        <xdr:cNvPr id="1069" name="圖片 1" descr="畫面剪輯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1025" y="1506632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152401</xdr:colOff>
      <xdr:row>161</xdr:row>
      <xdr:rowOff>123825</xdr:rowOff>
    </xdr:from>
    <xdr:to>
      <xdr:col>6</xdr:col>
      <xdr:colOff>1690087</xdr:colOff>
      <xdr:row>161</xdr:row>
      <xdr:rowOff>628650</xdr:rowOff>
    </xdr:to>
    <xdr:pic>
      <xdr:nvPicPr>
        <xdr:cNvPr id="1070" name="圖片 1069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5715001" y="36680775"/>
          <a:ext cx="1537686" cy="504825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159</xdr:row>
      <xdr:rowOff>19050</xdr:rowOff>
    </xdr:from>
    <xdr:to>
      <xdr:col>6</xdr:col>
      <xdr:colOff>1485736</xdr:colOff>
      <xdr:row>159</xdr:row>
      <xdr:rowOff>666669</xdr:rowOff>
    </xdr:to>
    <xdr:pic>
      <xdr:nvPicPr>
        <xdr:cNvPr id="1071" name="圖片 1070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5734050" y="35166300"/>
          <a:ext cx="1314286" cy="647619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160</xdr:row>
      <xdr:rowOff>57150</xdr:rowOff>
    </xdr:from>
    <xdr:to>
      <xdr:col>6</xdr:col>
      <xdr:colOff>1390495</xdr:colOff>
      <xdr:row>160</xdr:row>
      <xdr:rowOff>657150</xdr:rowOff>
    </xdr:to>
    <xdr:pic>
      <xdr:nvPicPr>
        <xdr:cNvPr id="1072" name="圖片 1071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5715000" y="35909250"/>
          <a:ext cx="1238095" cy="6000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162</xdr:row>
      <xdr:rowOff>85725</xdr:rowOff>
    </xdr:from>
    <xdr:to>
      <xdr:col>6</xdr:col>
      <xdr:colOff>1666875</xdr:colOff>
      <xdr:row>162</xdr:row>
      <xdr:rowOff>578432</xdr:rowOff>
    </xdr:to>
    <xdr:pic>
      <xdr:nvPicPr>
        <xdr:cNvPr id="1073" name="圖片 1072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5686425" y="38052375"/>
          <a:ext cx="1543050" cy="492707"/>
        </a:xfrm>
        <a:prstGeom prst="rect">
          <a:avLst/>
        </a:prstGeom>
      </xdr:spPr>
    </xdr:pic>
    <xdr:clientData/>
  </xdr:twoCellAnchor>
  <xdr:twoCellAnchor>
    <xdr:from>
      <xdr:col>4</xdr:col>
      <xdr:colOff>206375</xdr:colOff>
      <xdr:row>62</xdr:row>
      <xdr:rowOff>95250</xdr:rowOff>
    </xdr:from>
    <xdr:to>
      <xdr:col>4</xdr:col>
      <xdr:colOff>1111250</xdr:colOff>
      <xdr:row>62</xdr:row>
      <xdr:rowOff>1000125</xdr:rowOff>
    </xdr:to>
    <xdr:pic>
      <xdr:nvPicPr>
        <xdr:cNvPr id="1074" name="圖片 1073" descr="https://m.media-amazon.com/images/I/51xTAxT4NbL._SS60_.jpg"/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2625" y="41902062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317501</xdr:colOff>
      <xdr:row>72</xdr:row>
      <xdr:rowOff>108488</xdr:rowOff>
    </xdr:from>
    <xdr:to>
      <xdr:col>4</xdr:col>
      <xdr:colOff>920751</xdr:colOff>
      <xdr:row>72</xdr:row>
      <xdr:rowOff>1009752</xdr:rowOff>
    </xdr:to>
    <xdr:pic>
      <xdr:nvPicPr>
        <xdr:cNvPr id="1016" name="圖片 1015" descr="畫面剪輯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9220" y="66024465"/>
          <a:ext cx="603250" cy="901264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62</xdr:row>
      <xdr:rowOff>158750</xdr:rowOff>
    </xdr:from>
    <xdr:to>
      <xdr:col>6</xdr:col>
      <xdr:colOff>1682956</xdr:colOff>
      <xdr:row>62</xdr:row>
      <xdr:rowOff>882751</xdr:rowOff>
    </xdr:to>
    <xdr:pic>
      <xdr:nvPicPr>
        <xdr:cNvPr id="1017" name="圖片 1016" descr="畫面剪輯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419084125"/>
          <a:ext cx="1476581" cy="724001"/>
        </a:xfrm>
        <a:prstGeom prst="rect">
          <a:avLst/>
        </a:prstGeom>
      </xdr:spPr>
    </xdr:pic>
    <xdr:clientData/>
  </xdr:twoCellAnchor>
  <xdr:twoCellAnchor>
    <xdr:from>
      <xdr:col>6</xdr:col>
      <xdr:colOff>222250</xdr:colOff>
      <xdr:row>72</xdr:row>
      <xdr:rowOff>190500</xdr:rowOff>
    </xdr:from>
    <xdr:to>
      <xdr:col>6</xdr:col>
      <xdr:colOff>1689305</xdr:colOff>
      <xdr:row>72</xdr:row>
      <xdr:rowOff>914501</xdr:rowOff>
    </xdr:to>
    <xdr:pic>
      <xdr:nvPicPr>
        <xdr:cNvPr id="1018" name="圖片 1017" descr="畫面剪輯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4250" y="420243000"/>
          <a:ext cx="1467055" cy="724001"/>
        </a:xfrm>
        <a:prstGeom prst="rect">
          <a:avLst/>
        </a:prstGeom>
      </xdr:spPr>
    </xdr:pic>
    <xdr:clientData/>
  </xdr:twoCellAnchor>
  <xdr:twoCellAnchor>
    <xdr:from>
      <xdr:col>6</xdr:col>
      <xdr:colOff>222250</xdr:colOff>
      <xdr:row>261</xdr:row>
      <xdr:rowOff>142875</xdr:rowOff>
    </xdr:from>
    <xdr:to>
      <xdr:col>6</xdr:col>
      <xdr:colOff>1736937</xdr:colOff>
      <xdr:row>261</xdr:row>
      <xdr:rowOff>895455</xdr:rowOff>
    </xdr:to>
    <xdr:pic>
      <xdr:nvPicPr>
        <xdr:cNvPr id="1019" name="圖片 1018" descr="畫面剪輯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4250" y="417941125"/>
          <a:ext cx="1514687" cy="752580"/>
        </a:xfrm>
        <a:prstGeom prst="rect">
          <a:avLst/>
        </a:prstGeom>
      </xdr:spPr>
    </xdr:pic>
    <xdr:clientData/>
  </xdr:twoCellAnchor>
  <xdr:twoCellAnchor>
    <xdr:from>
      <xdr:col>6</xdr:col>
      <xdr:colOff>174625</xdr:colOff>
      <xdr:row>259</xdr:row>
      <xdr:rowOff>222250</xdr:rowOff>
    </xdr:from>
    <xdr:to>
      <xdr:col>6</xdr:col>
      <xdr:colOff>1689312</xdr:colOff>
      <xdr:row>259</xdr:row>
      <xdr:rowOff>974830</xdr:rowOff>
    </xdr:to>
    <xdr:pic>
      <xdr:nvPicPr>
        <xdr:cNvPr id="1020" name="圖片 1019" descr="畫面剪輯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6625" y="416893375"/>
          <a:ext cx="1514687" cy="75258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260</xdr:row>
      <xdr:rowOff>158750</xdr:rowOff>
    </xdr:from>
    <xdr:to>
      <xdr:col>6</xdr:col>
      <xdr:colOff>1609930</xdr:colOff>
      <xdr:row>260</xdr:row>
      <xdr:rowOff>854172</xdr:rowOff>
    </xdr:to>
    <xdr:pic>
      <xdr:nvPicPr>
        <xdr:cNvPr id="1075" name="圖片 1074" descr="畫面剪輯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4875" y="415702750"/>
          <a:ext cx="1467055" cy="695422"/>
        </a:xfrm>
        <a:prstGeom prst="rect">
          <a:avLst/>
        </a:prstGeom>
      </xdr:spPr>
    </xdr:pic>
    <xdr:clientData/>
  </xdr:twoCellAnchor>
  <xdr:twoCellAnchor>
    <xdr:from>
      <xdr:col>6</xdr:col>
      <xdr:colOff>223242</xdr:colOff>
      <xdr:row>32</xdr:row>
      <xdr:rowOff>104180</xdr:rowOff>
    </xdr:from>
    <xdr:to>
      <xdr:col>6</xdr:col>
      <xdr:colOff>1585507</xdr:colOff>
      <xdr:row>32</xdr:row>
      <xdr:rowOff>790076</xdr:rowOff>
    </xdr:to>
    <xdr:pic>
      <xdr:nvPicPr>
        <xdr:cNvPr id="8" name="Picture 7" descr="Screen Clipping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7578" y="25643086"/>
          <a:ext cx="1362265" cy="685896"/>
        </a:xfrm>
        <a:prstGeom prst="rect">
          <a:avLst/>
        </a:prstGeom>
      </xdr:spPr>
    </xdr:pic>
    <xdr:clientData/>
  </xdr:twoCellAnchor>
  <xdr:twoCellAnchor>
    <xdr:from>
      <xdr:col>6</xdr:col>
      <xdr:colOff>148829</xdr:colOff>
      <xdr:row>262</xdr:row>
      <xdr:rowOff>133945</xdr:rowOff>
    </xdr:from>
    <xdr:to>
      <xdr:col>6</xdr:col>
      <xdr:colOff>1606358</xdr:colOff>
      <xdr:row>262</xdr:row>
      <xdr:rowOff>848420</xdr:rowOff>
    </xdr:to>
    <xdr:pic>
      <xdr:nvPicPr>
        <xdr:cNvPr id="20" name="Picture 19" descr="Screen Clipping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3165" y="225861562"/>
          <a:ext cx="1457529" cy="714475"/>
        </a:xfrm>
        <a:prstGeom prst="rect">
          <a:avLst/>
        </a:prstGeom>
      </xdr:spPr>
    </xdr:pic>
    <xdr:clientData/>
  </xdr:twoCellAnchor>
  <xdr:twoCellAnchor>
    <xdr:from>
      <xdr:col>6</xdr:col>
      <xdr:colOff>193477</xdr:colOff>
      <xdr:row>317</xdr:row>
      <xdr:rowOff>104179</xdr:rowOff>
    </xdr:from>
    <xdr:to>
      <xdr:col>6</xdr:col>
      <xdr:colOff>1536690</xdr:colOff>
      <xdr:row>317</xdr:row>
      <xdr:rowOff>771022</xdr:rowOff>
    </xdr:to>
    <xdr:pic>
      <xdr:nvPicPr>
        <xdr:cNvPr id="38" name="Picture 37" descr="Screen Clipping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813" y="261252890"/>
          <a:ext cx="1343213" cy="666843"/>
        </a:xfrm>
        <a:prstGeom prst="rect">
          <a:avLst/>
        </a:prstGeom>
      </xdr:spPr>
    </xdr:pic>
    <xdr:clientData/>
  </xdr:twoCellAnchor>
  <xdr:twoCellAnchor>
    <xdr:from>
      <xdr:col>6</xdr:col>
      <xdr:colOff>267890</xdr:colOff>
      <xdr:row>444</xdr:row>
      <xdr:rowOff>133945</xdr:rowOff>
    </xdr:from>
    <xdr:to>
      <xdr:col>6</xdr:col>
      <xdr:colOff>1687313</xdr:colOff>
      <xdr:row>444</xdr:row>
      <xdr:rowOff>848420</xdr:rowOff>
    </xdr:to>
    <xdr:pic>
      <xdr:nvPicPr>
        <xdr:cNvPr id="41" name="Picture 40" descr="Screen Clipping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2226" y="345281250"/>
          <a:ext cx="1419423" cy="714475"/>
        </a:xfrm>
        <a:prstGeom prst="rect">
          <a:avLst/>
        </a:prstGeom>
      </xdr:spPr>
    </xdr:pic>
    <xdr:clientData/>
  </xdr:twoCellAnchor>
  <xdr:twoCellAnchor>
    <xdr:from>
      <xdr:col>6</xdr:col>
      <xdr:colOff>89297</xdr:colOff>
      <xdr:row>447</xdr:row>
      <xdr:rowOff>74414</xdr:rowOff>
    </xdr:from>
    <xdr:to>
      <xdr:col>6</xdr:col>
      <xdr:colOff>1480141</xdr:colOff>
      <xdr:row>447</xdr:row>
      <xdr:rowOff>750783</xdr:rowOff>
    </xdr:to>
    <xdr:pic>
      <xdr:nvPicPr>
        <xdr:cNvPr id="72" name="Picture 71" descr="Screen Clipping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3633" y="349269844"/>
          <a:ext cx="1390844" cy="676369"/>
        </a:xfrm>
        <a:prstGeom prst="rect">
          <a:avLst/>
        </a:prstGeom>
      </xdr:spPr>
    </xdr:pic>
    <xdr:clientData/>
  </xdr:twoCellAnchor>
  <xdr:twoCellAnchor>
    <xdr:from>
      <xdr:col>4</xdr:col>
      <xdr:colOff>357188</xdr:colOff>
      <xdr:row>400</xdr:row>
      <xdr:rowOff>253008</xdr:rowOff>
    </xdr:from>
    <xdr:to>
      <xdr:col>4</xdr:col>
      <xdr:colOff>1033557</xdr:colOff>
      <xdr:row>400</xdr:row>
      <xdr:rowOff>843640</xdr:rowOff>
    </xdr:to>
    <xdr:pic>
      <xdr:nvPicPr>
        <xdr:cNvPr id="9" name="圖片 8" descr="畫面剪輯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907" y="375597539"/>
          <a:ext cx="676369" cy="590632"/>
        </a:xfrm>
        <a:prstGeom prst="rect">
          <a:avLst/>
        </a:prstGeom>
      </xdr:spPr>
    </xdr:pic>
    <xdr:clientData/>
  </xdr:twoCellAnchor>
  <xdr:twoCellAnchor>
    <xdr:from>
      <xdr:col>4</xdr:col>
      <xdr:colOff>357188</xdr:colOff>
      <xdr:row>401</xdr:row>
      <xdr:rowOff>253008</xdr:rowOff>
    </xdr:from>
    <xdr:to>
      <xdr:col>4</xdr:col>
      <xdr:colOff>1033557</xdr:colOff>
      <xdr:row>401</xdr:row>
      <xdr:rowOff>843640</xdr:rowOff>
    </xdr:to>
    <xdr:pic>
      <xdr:nvPicPr>
        <xdr:cNvPr id="962" name="圖片 961" descr="畫面剪輯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907" y="375597539"/>
          <a:ext cx="676369" cy="590632"/>
        </a:xfrm>
        <a:prstGeom prst="rect">
          <a:avLst/>
        </a:prstGeom>
      </xdr:spPr>
    </xdr:pic>
    <xdr:clientData/>
  </xdr:twoCellAnchor>
  <xdr:twoCellAnchor>
    <xdr:from>
      <xdr:col>4</xdr:col>
      <xdr:colOff>357188</xdr:colOff>
      <xdr:row>402</xdr:row>
      <xdr:rowOff>253008</xdr:rowOff>
    </xdr:from>
    <xdr:to>
      <xdr:col>4</xdr:col>
      <xdr:colOff>1033557</xdr:colOff>
      <xdr:row>402</xdr:row>
      <xdr:rowOff>843640</xdr:rowOff>
    </xdr:to>
    <xdr:pic>
      <xdr:nvPicPr>
        <xdr:cNvPr id="964" name="圖片 963" descr="畫面剪輯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907" y="375597539"/>
          <a:ext cx="676369" cy="590632"/>
        </a:xfrm>
        <a:prstGeom prst="rect">
          <a:avLst/>
        </a:prstGeom>
      </xdr:spPr>
    </xdr:pic>
    <xdr:clientData/>
  </xdr:twoCellAnchor>
  <xdr:twoCellAnchor>
    <xdr:from>
      <xdr:col>4</xdr:col>
      <xdr:colOff>267890</xdr:colOff>
      <xdr:row>403</xdr:row>
      <xdr:rowOff>89297</xdr:rowOff>
    </xdr:from>
    <xdr:to>
      <xdr:col>4</xdr:col>
      <xdr:colOff>997148</xdr:colOff>
      <xdr:row>403</xdr:row>
      <xdr:rowOff>854420</xdr:rowOff>
    </xdr:to>
    <xdr:pic>
      <xdr:nvPicPr>
        <xdr:cNvPr id="22" name="圖片 21" descr="畫面剪輯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609" y="378469922"/>
          <a:ext cx="729258" cy="765123"/>
        </a:xfrm>
        <a:prstGeom prst="rect">
          <a:avLst/>
        </a:prstGeom>
      </xdr:spPr>
    </xdr:pic>
    <xdr:clientData/>
  </xdr:twoCellAnchor>
  <xdr:twoCellAnchor>
    <xdr:from>
      <xdr:col>4</xdr:col>
      <xdr:colOff>267890</xdr:colOff>
      <xdr:row>404</xdr:row>
      <xdr:rowOff>89297</xdr:rowOff>
    </xdr:from>
    <xdr:to>
      <xdr:col>4</xdr:col>
      <xdr:colOff>997148</xdr:colOff>
      <xdr:row>404</xdr:row>
      <xdr:rowOff>854420</xdr:rowOff>
    </xdr:to>
    <xdr:pic>
      <xdr:nvPicPr>
        <xdr:cNvPr id="965" name="圖片 964" descr="畫面剪輯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609" y="378469922"/>
          <a:ext cx="729258" cy="765123"/>
        </a:xfrm>
        <a:prstGeom prst="rect">
          <a:avLst/>
        </a:prstGeom>
      </xdr:spPr>
    </xdr:pic>
    <xdr:clientData/>
  </xdr:twoCellAnchor>
  <xdr:twoCellAnchor>
    <xdr:from>
      <xdr:col>4</xdr:col>
      <xdr:colOff>267890</xdr:colOff>
      <xdr:row>405</xdr:row>
      <xdr:rowOff>89297</xdr:rowOff>
    </xdr:from>
    <xdr:to>
      <xdr:col>4</xdr:col>
      <xdr:colOff>997148</xdr:colOff>
      <xdr:row>405</xdr:row>
      <xdr:rowOff>854420</xdr:rowOff>
    </xdr:to>
    <xdr:pic>
      <xdr:nvPicPr>
        <xdr:cNvPr id="966" name="圖片 965" descr="畫面剪輯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609" y="378469922"/>
          <a:ext cx="729258" cy="765123"/>
        </a:xfrm>
        <a:prstGeom prst="rect">
          <a:avLst/>
        </a:prstGeom>
      </xdr:spPr>
    </xdr:pic>
    <xdr:clientData/>
  </xdr:twoCellAnchor>
  <xdr:twoCellAnchor>
    <xdr:from>
      <xdr:col>4</xdr:col>
      <xdr:colOff>104179</xdr:colOff>
      <xdr:row>406</xdr:row>
      <xdr:rowOff>133944</xdr:rowOff>
    </xdr:from>
    <xdr:to>
      <xdr:col>4</xdr:col>
      <xdr:colOff>1233888</xdr:colOff>
      <xdr:row>406</xdr:row>
      <xdr:rowOff>892967</xdr:rowOff>
    </xdr:to>
    <xdr:pic>
      <xdr:nvPicPr>
        <xdr:cNvPr id="36" name="圖片 35" descr="畫面剪輯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5898" y="381550663"/>
          <a:ext cx="1129709" cy="759023"/>
        </a:xfrm>
        <a:prstGeom prst="rect">
          <a:avLst/>
        </a:prstGeom>
      </xdr:spPr>
    </xdr:pic>
    <xdr:clientData/>
  </xdr:twoCellAnchor>
  <xdr:twoCellAnchor>
    <xdr:from>
      <xdr:col>4</xdr:col>
      <xdr:colOff>104179</xdr:colOff>
      <xdr:row>407</xdr:row>
      <xdr:rowOff>133944</xdr:rowOff>
    </xdr:from>
    <xdr:to>
      <xdr:col>4</xdr:col>
      <xdr:colOff>1233888</xdr:colOff>
      <xdr:row>407</xdr:row>
      <xdr:rowOff>892967</xdr:rowOff>
    </xdr:to>
    <xdr:pic>
      <xdr:nvPicPr>
        <xdr:cNvPr id="967" name="圖片 966" descr="畫面剪輯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5898" y="381550663"/>
          <a:ext cx="1129709" cy="759023"/>
        </a:xfrm>
        <a:prstGeom prst="rect">
          <a:avLst/>
        </a:prstGeom>
      </xdr:spPr>
    </xdr:pic>
    <xdr:clientData/>
  </xdr:twoCellAnchor>
  <xdr:twoCellAnchor>
    <xdr:from>
      <xdr:col>4</xdr:col>
      <xdr:colOff>104179</xdr:colOff>
      <xdr:row>408</xdr:row>
      <xdr:rowOff>133944</xdr:rowOff>
    </xdr:from>
    <xdr:to>
      <xdr:col>4</xdr:col>
      <xdr:colOff>1233888</xdr:colOff>
      <xdr:row>408</xdr:row>
      <xdr:rowOff>892967</xdr:rowOff>
    </xdr:to>
    <xdr:pic>
      <xdr:nvPicPr>
        <xdr:cNvPr id="969" name="圖片 968" descr="畫面剪輯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5898" y="381550663"/>
          <a:ext cx="1129709" cy="759023"/>
        </a:xfrm>
        <a:prstGeom prst="rect">
          <a:avLst/>
        </a:prstGeom>
      </xdr:spPr>
    </xdr:pic>
    <xdr:clientData/>
  </xdr:twoCellAnchor>
  <xdr:twoCellAnchor>
    <xdr:from>
      <xdr:col>6</xdr:col>
      <xdr:colOff>253008</xdr:colOff>
      <xdr:row>405</xdr:row>
      <xdr:rowOff>89297</xdr:rowOff>
    </xdr:from>
    <xdr:to>
      <xdr:col>6</xdr:col>
      <xdr:colOff>1681958</xdr:colOff>
      <xdr:row>405</xdr:row>
      <xdr:rowOff>794245</xdr:rowOff>
    </xdr:to>
    <xdr:pic>
      <xdr:nvPicPr>
        <xdr:cNvPr id="37" name="圖片 36" descr="畫面剪輯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7344" y="380493985"/>
          <a:ext cx="1428950" cy="704948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407</xdr:row>
      <xdr:rowOff>133946</xdr:rowOff>
    </xdr:from>
    <xdr:to>
      <xdr:col>6</xdr:col>
      <xdr:colOff>1558725</xdr:colOff>
      <xdr:row>407</xdr:row>
      <xdr:rowOff>848421</xdr:rowOff>
    </xdr:to>
    <xdr:pic>
      <xdr:nvPicPr>
        <xdr:cNvPr id="74" name="圖片 73" descr="畫面剪輯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3164" y="382562696"/>
          <a:ext cx="1409897" cy="714475"/>
        </a:xfrm>
        <a:prstGeom prst="rect">
          <a:avLst/>
        </a:prstGeom>
      </xdr:spPr>
    </xdr:pic>
    <xdr:clientData/>
  </xdr:twoCellAnchor>
  <xdr:twoCellAnchor>
    <xdr:from>
      <xdr:col>6</xdr:col>
      <xdr:colOff>223243</xdr:colOff>
      <xdr:row>408</xdr:row>
      <xdr:rowOff>89296</xdr:rowOff>
    </xdr:from>
    <xdr:to>
      <xdr:col>6</xdr:col>
      <xdr:colOff>1680772</xdr:colOff>
      <xdr:row>408</xdr:row>
      <xdr:rowOff>813297</xdr:rowOff>
    </xdr:to>
    <xdr:pic>
      <xdr:nvPicPr>
        <xdr:cNvPr id="80" name="圖片 79" descr="畫面剪輯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7579" y="383530077"/>
          <a:ext cx="1457529" cy="724001"/>
        </a:xfrm>
        <a:prstGeom prst="rect">
          <a:avLst/>
        </a:prstGeom>
      </xdr:spPr>
    </xdr:pic>
    <xdr:clientData/>
  </xdr:twoCellAnchor>
  <xdr:twoCellAnchor>
    <xdr:from>
      <xdr:col>6</xdr:col>
      <xdr:colOff>267891</xdr:colOff>
      <xdr:row>402</xdr:row>
      <xdr:rowOff>133946</xdr:rowOff>
    </xdr:from>
    <xdr:to>
      <xdr:col>6</xdr:col>
      <xdr:colOff>1677788</xdr:colOff>
      <xdr:row>402</xdr:row>
      <xdr:rowOff>829368</xdr:rowOff>
    </xdr:to>
    <xdr:pic>
      <xdr:nvPicPr>
        <xdr:cNvPr id="85" name="圖片 84" descr="畫面剪輯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2227" y="377502540"/>
          <a:ext cx="1409897" cy="695422"/>
        </a:xfrm>
        <a:prstGeom prst="rect">
          <a:avLst/>
        </a:prstGeom>
      </xdr:spPr>
    </xdr:pic>
    <xdr:clientData/>
  </xdr:twoCellAnchor>
  <xdr:twoCellAnchor>
    <xdr:from>
      <xdr:col>6</xdr:col>
      <xdr:colOff>208360</xdr:colOff>
      <xdr:row>404</xdr:row>
      <xdr:rowOff>133945</xdr:rowOff>
    </xdr:from>
    <xdr:to>
      <xdr:col>6</xdr:col>
      <xdr:colOff>1646836</xdr:colOff>
      <xdr:row>404</xdr:row>
      <xdr:rowOff>848420</xdr:rowOff>
    </xdr:to>
    <xdr:pic>
      <xdr:nvPicPr>
        <xdr:cNvPr id="123" name="圖片 122" descr="畫面剪輯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696" y="379526601"/>
          <a:ext cx="1438476" cy="714475"/>
        </a:xfrm>
        <a:prstGeom prst="rect">
          <a:avLst/>
        </a:prstGeom>
      </xdr:spPr>
    </xdr:pic>
    <xdr:clientData/>
  </xdr:twoCellAnchor>
  <xdr:twoCellAnchor>
    <xdr:from>
      <xdr:col>6</xdr:col>
      <xdr:colOff>163711</xdr:colOff>
      <xdr:row>406</xdr:row>
      <xdr:rowOff>119063</xdr:rowOff>
    </xdr:from>
    <xdr:to>
      <xdr:col>6</xdr:col>
      <xdr:colOff>1554555</xdr:colOff>
      <xdr:row>406</xdr:row>
      <xdr:rowOff>843064</xdr:rowOff>
    </xdr:to>
    <xdr:pic>
      <xdr:nvPicPr>
        <xdr:cNvPr id="135" name="圖片 134" descr="畫面剪輯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047" y="381535782"/>
          <a:ext cx="1390844" cy="724001"/>
        </a:xfrm>
        <a:prstGeom prst="rect">
          <a:avLst/>
        </a:prstGeom>
      </xdr:spPr>
    </xdr:pic>
    <xdr:clientData/>
  </xdr:twoCellAnchor>
  <xdr:twoCellAnchor>
    <xdr:from>
      <xdr:col>6</xdr:col>
      <xdr:colOff>178594</xdr:colOff>
      <xdr:row>403</xdr:row>
      <xdr:rowOff>119063</xdr:rowOff>
    </xdr:from>
    <xdr:to>
      <xdr:col>6</xdr:col>
      <xdr:colOff>1645649</xdr:colOff>
      <xdr:row>403</xdr:row>
      <xdr:rowOff>824011</xdr:rowOff>
    </xdr:to>
    <xdr:pic>
      <xdr:nvPicPr>
        <xdr:cNvPr id="141" name="圖片 140" descr="畫面剪輯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2930" y="378499688"/>
          <a:ext cx="1467055" cy="704948"/>
        </a:xfrm>
        <a:prstGeom prst="rect">
          <a:avLst/>
        </a:prstGeom>
      </xdr:spPr>
    </xdr:pic>
    <xdr:clientData/>
  </xdr:twoCellAnchor>
  <xdr:twoCellAnchor>
    <xdr:from>
      <xdr:col>6</xdr:col>
      <xdr:colOff>163711</xdr:colOff>
      <xdr:row>401</xdr:row>
      <xdr:rowOff>133945</xdr:rowOff>
    </xdr:from>
    <xdr:to>
      <xdr:col>6</xdr:col>
      <xdr:colOff>1573608</xdr:colOff>
      <xdr:row>401</xdr:row>
      <xdr:rowOff>848420</xdr:rowOff>
    </xdr:to>
    <xdr:pic>
      <xdr:nvPicPr>
        <xdr:cNvPr id="142" name="圖片 141" descr="畫面剪輯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047" y="376490508"/>
          <a:ext cx="1409897" cy="714475"/>
        </a:xfrm>
        <a:prstGeom prst="rect">
          <a:avLst/>
        </a:prstGeom>
      </xdr:spPr>
    </xdr:pic>
    <xdr:clientData/>
  </xdr:twoCellAnchor>
  <xdr:twoCellAnchor>
    <xdr:from>
      <xdr:col>6</xdr:col>
      <xdr:colOff>163711</xdr:colOff>
      <xdr:row>400</xdr:row>
      <xdr:rowOff>133945</xdr:rowOff>
    </xdr:from>
    <xdr:to>
      <xdr:col>6</xdr:col>
      <xdr:colOff>1611713</xdr:colOff>
      <xdr:row>400</xdr:row>
      <xdr:rowOff>876999</xdr:rowOff>
    </xdr:to>
    <xdr:pic>
      <xdr:nvPicPr>
        <xdr:cNvPr id="144" name="圖片 143" descr="畫面剪輯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047" y="375478476"/>
          <a:ext cx="1448002" cy="743054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243</xdr:row>
      <xdr:rowOff>74414</xdr:rowOff>
    </xdr:from>
    <xdr:to>
      <xdr:col>6</xdr:col>
      <xdr:colOff>1806409</xdr:colOff>
      <xdr:row>243</xdr:row>
      <xdr:rowOff>941310</xdr:rowOff>
    </xdr:to>
    <xdr:pic>
      <xdr:nvPicPr>
        <xdr:cNvPr id="990" name="Picture 473" descr="Screen Clipping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1853" y="348508439"/>
          <a:ext cx="1657581" cy="866896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244</xdr:row>
      <xdr:rowOff>119062</xdr:rowOff>
    </xdr:from>
    <xdr:to>
      <xdr:col>6</xdr:col>
      <xdr:colOff>1768304</xdr:colOff>
      <xdr:row>244</xdr:row>
      <xdr:rowOff>938326</xdr:rowOff>
    </xdr:to>
    <xdr:pic>
      <xdr:nvPicPr>
        <xdr:cNvPr id="992" name="Picture 476" descr="Screen Clipping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1853" y="350696212"/>
          <a:ext cx="1619476" cy="819264"/>
        </a:xfrm>
        <a:prstGeom prst="rect">
          <a:avLst/>
        </a:prstGeom>
      </xdr:spPr>
    </xdr:pic>
    <xdr:clientData/>
  </xdr:twoCellAnchor>
  <xdr:twoCellAnchor>
    <xdr:from>
      <xdr:col>6</xdr:col>
      <xdr:colOff>104179</xdr:colOff>
      <xdr:row>245</xdr:row>
      <xdr:rowOff>104180</xdr:rowOff>
    </xdr:from>
    <xdr:to>
      <xdr:col>6</xdr:col>
      <xdr:colOff>1742708</xdr:colOff>
      <xdr:row>245</xdr:row>
      <xdr:rowOff>856760</xdr:rowOff>
    </xdr:to>
    <xdr:pic>
      <xdr:nvPicPr>
        <xdr:cNvPr id="996" name="Picture 477" descr="Screen Clipping"/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204" y="355939130"/>
          <a:ext cx="1638529" cy="752580"/>
        </a:xfrm>
        <a:prstGeom prst="rect">
          <a:avLst/>
        </a:prstGeom>
      </xdr:spPr>
    </xdr:pic>
    <xdr:clientData/>
  </xdr:twoCellAnchor>
  <xdr:twoCellAnchor>
    <xdr:from>
      <xdr:col>6</xdr:col>
      <xdr:colOff>133946</xdr:colOff>
      <xdr:row>230</xdr:row>
      <xdr:rowOff>163711</xdr:rowOff>
    </xdr:from>
    <xdr:to>
      <xdr:col>6</xdr:col>
      <xdr:colOff>1801054</xdr:colOff>
      <xdr:row>230</xdr:row>
      <xdr:rowOff>1011554</xdr:rowOff>
    </xdr:to>
    <xdr:pic>
      <xdr:nvPicPr>
        <xdr:cNvPr id="997" name="Picture 468" descr="Screen Clipping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6971" y="360532561"/>
          <a:ext cx="1667108" cy="847843"/>
        </a:xfrm>
        <a:prstGeom prst="rect">
          <a:avLst/>
        </a:prstGeom>
      </xdr:spPr>
    </xdr:pic>
    <xdr:clientData/>
  </xdr:twoCellAnchor>
  <xdr:twoCellAnchor>
    <xdr:from>
      <xdr:col>6</xdr:col>
      <xdr:colOff>89297</xdr:colOff>
      <xdr:row>222</xdr:row>
      <xdr:rowOff>148828</xdr:rowOff>
    </xdr:from>
    <xdr:to>
      <xdr:col>6</xdr:col>
      <xdr:colOff>1727826</xdr:colOff>
      <xdr:row>222</xdr:row>
      <xdr:rowOff>968092</xdr:rowOff>
    </xdr:to>
    <xdr:pic>
      <xdr:nvPicPr>
        <xdr:cNvPr id="998" name="Picture 469" descr="Screen Clipping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2322" y="358250728"/>
          <a:ext cx="1638529" cy="819264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233</xdr:row>
      <xdr:rowOff>74414</xdr:rowOff>
    </xdr:from>
    <xdr:to>
      <xdr:col>6</xdr:col>
      <xdr:colOff>1825462</xdr:colOff>
      <xdr:row>233</xdr:row>
      <xdr:rowOff>922257</xdr:rowOff>
    </xdr:to>
    <xdr:pic>
      <xdr:nvPicPr>
        <xdr:cNvPr id="999" name="Picture 470" descr="Screen Clipping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1853" y="361576739"/>
          <a:ext cx="1676634" cy="847843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239</xdr:row>
      <xdr:rowOff>44648</xdr:rowOff>
    </xdr:from>
    <xdr:to>
      <xdr:col>6</xdr:col>
      <xdr:colOff>1757592</xdr:colOff>
      <xdr:row>239</xdr:row>
      <xdr:rowOff>835333</xdr:rowOff>
    </xdr:to>
    <xdr:pic>
      <xdr:nvPicPr>
        <xdr:cNvPr id="1000" name="Picture 472" descr="Screen Clipping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2088" y="362680448"/>
          <a:ext cx="1638529" cy="790685"/>
        </a:xfrm>
        <a:prstGeom prst="rect">
          <a:avLst/>
        </a:prstGeom>
      </xdr:spPr>
    </xdr:pic>
    <xdr:clientData/>
  </xdr:twoCellAnchor>
  <xdr:twoCellAnchor>
    <xdr:from>
      <xdr:col>6</xdr:col>
      <xdr:colOff>104179</xdr:colOff>
      <xdr:row>227</xdr:row>
      <xdr:rowOff>59531</xdr:rowOff>
    </xdr:from>
    <xdr:to>
      <xdr:col>6</xdr:col>
      <xdr:colOff>1742708</xdr:colOff>
      <xdr:row>227</xdr:row>
      <xdr:rowOff>926427</xdr:rowOff>
    </xdr:to>
    <xdr:pic>
      <xdr:nvPicPr>
        <xdr:cNvPr id="1028" name="Picture 478" descr="Screen Clipping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204" y="359294906"/>
          <a:ext cx="1638529" cy="866896"/>
        </a:xfrm>
        <a:prstGeom prst="rect">
          <a:avLst/>
        </a:prstGeom>
      </xdr:spPr>
    </xdr:pic>
    <xdr:clientData/>
  </xdr:twoCellAnchor>
  <xdr:twoCellAnchor>
    <xdr:from>
      <xdr:col>4</xdr:col>
      <xdr:colOff>193475</xdr:colOff>
      <xdr:row>409</xdr:row>
      <xdr:rowOff>104180</xdr:rowOff>
    </xdr:from>
    <xdr:to>
      <xdr:col>4</xdr:col>
      <xdr:colOff>1145976</xdr:colOff>
      <xdr:row>409</xdr:row>
      <xdr:rowOff>978606</xdr:rowOff>
    </xdr:to>
    <xdr:pic>
      <xdr:nvPicPr>
        <xdr:cNvPr id="1029" name="Picture 8" descr="Screen Clipping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050" y="374712905"/>
          <a:ext cx="952501" cy="874426"/>
        </a:xfrm>
        <a:prstGeom prst="rect">
          <a:avLst/>
        </a:prstGeom>
      </xdr:spPr>
    </xdr:pic>
    <xdr:clientData/>
  </xdr:twoCellAnchor>
  <xdr:twoCellAnchor>
    <xdr:from>
      <xdr:col>4</xdr:col>
      <xdr:colOff>163710</xdr:colOff>
      <xdr:row>410</xdr:row>
      <xdr:rowOff>44647</xdr:rowOff>
    </xdr:from>
    <xdr:to>
      <xdr:col>4</xdr:col>
      <xdr:colOff>1317437</xdr:colOff>
      <xdr:row>410</xdr:row>
      <xdr:rowOff>952498</xdr:rowOff>
    </xdr:to>
    <xdr:pic>
      <xdr:nvPicPr>
        <xdr:cNvPr id="1056" name="Picture 21" descr="Screen Clipping"/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285" y="375663022"/>
          <a:ext cx="1153727" cy="907851"/>
        </a:xfrm>
        <a:prstGeom prst="rect">
          <a:avLst/>
        </a:prstGeom>
      </xdr:spPr>
    </xdr:pic>
    <xdr:clientData/>
  </xdr:twoCellAnchor>
  <xdr:twoCellAnchor>
    <xdr:from>
      <xdr:col>4</xdr:col>
      <xdr:colOff>119062</xdr:colOff>
      <xdr:row>164</xdr:row>
      <xdr:rowOff>44648</xdr:rowOff>
    </xdr:from>
    <xdr:to>
      <xdr:col>4</xdr:col>
      <xdr:colOff>1128845</xdr:colOff>
      <xdr:row>164</xdr:row>
      <xdr:rowOff>907851</xdr:rowOff>
    </xdr:to>
    <xdr:pic>
      <xdr:nvPicPr>
        <xdr:cNvPr id="1057" name="Picture 35" descr="Screen Clipping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637" y="376672673"/>
          <a:ext cx="1009783" cy="863203"/>
        </a:xfrm>
        <a:prstGeom prst="rect">
          <a:avLst/>
        </a:prstGeom>
      </xdr:spPr>
    </xdr:pic>
    <xdr:clientData/>
  </xdr:twoCellAnchor>
  <xdr:twoCellAnchor>
    <xdr:from>
      <xdr:col>4</xdr:col>
      <xdr:colOff>253008</xdr:colOff>
      <xdr:row>91</xdr:row>
      <xdr:rowOff>133945</xdr:rowOff>
    </xdr:from>
    <xdr:to>
      <xdr:col>4</xdr:col>
      <xdr:colOff>956222</xdr:colOff>
      <xdr:row>91</xdr:row>
      <xdr:rowOff>937617</xdr:rowOff>
    </xdr:to>
    <xdr:pic>
      <xdr:nvPicPr>
        <xdr:cNvPr id="1058" name="Picture 36" descr="Screen Clipping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583" y="377771620"/>
          <a:ext cx="703214" cy="803672"/>
        </a:xfrm>
        <a:prstGeom prst="rect">
          <a:avLst/>
        </a:prstGeom>
      </xdr:spPr>
    </xdr:pic>
    <xdr:clientData/>
  </xdr:twoCellAnchor>
  <xdr:twoCellAnchor>
    <xdr:from>
      <xdr:col>4</xdr:col>
      <xdr:colOff>163710</xdr:colOff>
      <xdr:row>441</xdr:row>
      <xdr:rowOff>59530</xdr:rowOff>
    </xdr:from>
    <xdr:to>
      <xdr:col>4</xdr:col>
      <xdr:colOff>848319</xdr:colOff>
      <xdr:row>441</xdr:row>
      <xdr:rowOff>951113</xdr:rowOff>
    </xdr:to>
    <xdr:pic>
      <xdr:nvPicPr>
        <xdr:cNvPr id="1076" name="Picture 73" descr="Screen Clipping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285" y="378706855"/>
          <a:ext cx="684609" cy="891583"/>
        </a:xfrm>
        <a:prstGeom prst="rect">
          <a:avLst/>
        </a:prstGeom>
      </xdr:spPr>
    </xdr:pic>
    <xdr:clientData/>
  </xdr:twoCellAnchor>
  <xdr:twoCellAnchor>
    <xdr:from>
      <xdr:col>4</xdr:col>
      <xdr:colOff>386954</xdr:colOff>
      <xdr:row>73</xdr:row>
      <xdr:rowOff>104179</xdr:rowOff>
    </xdr:from>
    <xdr:to>
      <xdr:col>4</xdr:col>
      <xdr:colOff>830462</xdr:colOff>
      <xdr:row>73</xdr:row>
      <xdr:rowOff>935755</xdr:rowOff>
    </xdr:to>
    <xdr:pic>
      <xdr:nvPicPr>
        <xdr:cNvPr id="1077" name="Picture 79" descr="Screen Clipping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1529" y="379761154"/>
          <a:ext cx="443508" cy="831576"/>
        </a:xfrm>
        <a:prstGeom prst="rect">
          <a:avLst/>
        </a:prstGeom>
      </xdr:spPr>
    </xdr:pic>
    <xdr:clientData/>
  </xdr:twoCellAnchor>
  <xdr:twoCellAnchor>
    <xdr:from>
      <xdr:col>4</xdr:col>
      <xdr:colOff>178594</xdr:colOff>
      <xdr:row>14</xdr:row>
      <xdr:rowOff>89296</xdr:rowOff>
    </xdr:from>
    <xdr:to>
      <xdr:col>4</xdr:col>
      <xdr:colOff>991834</xdr:colOff>
      <xdr:row>14</xdr:row>
      <xdr:rowOff>848319</xdr:rowOff>
    </xdr:to>
    <xdr:pic>
      <xdr:nvPicPr>
        <xdr:cNvPr id="1078" name="Picture 84" descr="Screen Clipping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3169" y="380755921"/>
          <a:ext cx="813240" cy="759023"/>
        </a:xfrm>
        <a:prstGeom prst="rect">
          <a:avLst/>
        </a:prstGeom>
      </xdr:spPr>
    </xdr:pic>
    <xdr:clientData/>
  </xdr:twoCellAnchor>
  <xdr:twoCellAnchor>
    <xdr:from>
      <xdr:col>4</xdr:col>
      <xdr:colOff>133945</xdr:colOff>
      <xdr:row>13</xdr:row>
      <xdr:rowOff>104180</xdr:rowOff>
    </xdr:from>
    <xdr:to>
      <xdr:col>4</xdr:col>
      <xdr:colOff>868053</xdr:colOff>
      <xdr:row>13</xdr:row>
      <xdr:rowOff>833438</xdr:rowOff>
    </xdr:to>
    <xdr:pic>
      <xdr:nvPicPr>
        <xdr:cNvPr id="1079" name="Picture 122" descr="Screen Clipping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5664" y="12903399"/>
          <a:ext cx="734108" cy="729258"/>
        </a:xfrm>
        <a:prstGeom prst="rect">
          <a:avLst/>
        </a:prstGeom>
      </xdr:spPr>
    </xdr:pic>
    <xdr:clientData/>
  </xdr:twoCellAnchor>
  <xdr:twoCellAnchor>
    <xdr:from>
      <xdr:col>4</xdr:col>
      <xdr:colOff>282773</xdr:colOff>
      <xdr:row>89</xdr:row>
      <xdr:rowOff>44649</xdr:rowOff>
    </xdr:from>
    <xdr:to>
      <xdr:col>4</xdr:col>
      <xdr:colOff>878085</xdr:colOff>
      <xdr:row>89</xdr:row>
      <xdr:rowOff>898793</xdr:rowOff>
    </xdr:to>
    <xdr:pic>
      <xdr:nvPicPr>
        <xdr:cNvPr id="1080" name="Picture 134" descr="Screen Clipping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7348" y="382730574"/>
          <a:ext cx="595312" cy="854144"/>
        </a:xfrm>
        <a:prstGeom prst="rect">
          <a:avLst/>
        </a:prstGeom>
      </xdr:spPr>
    </xdr:pic>
    <xdr:clientData/>
  </xdr:twoCellAnchor>
  <xdr:twoCellAnchor>
    <xdr:from>
      <xdr:col>4</xdr:col>
      <xdr:colOff>119062</xdr:colOff>
      <xdr:row>7</xdr:row>
      <xdr:rowOff>89296</xdr:rowOff>
    </xdr:from>
    <xdr:to>
      <xdr:col>4</xdr:col>
      <xdr:colOff>1036917</xdr:colOff>
      <xdr:row>7</xdr:row>
      <xdr:rowOff>937616</xdr:rowOff>
    </xdr:to>
    <xdr:pic>
      <xdr:nvPicPr>
        <xdr:cNvPr id="1081" name="Picture 140" descr="Screen Clipping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637" y="383784871"/>
          <a:ext cx="917855" cy="848320"/>
        </a:xfrm>
        <a:prstGeom prst="rect">
          <a:avLst/>
        </a:prstGeom>
      </xdr:spPr>
    </xdr:pic>
    <xdr:clientData/>
  </xdr:twoCellAnchor>
  <xdr:twoCellAnchor>
    <xdr:from>
      <xdr:col>4</xdr:col>
      <xdr:colOff>193477</xdr:colOff>
      <xdr:row>138</xdr:row>
      <xdr:rowOff>119062</xdr:rowOff>
    </xdr:from>
    <xdr:to>
      <xdr:col>4</xdr:col>
      <xdr:colOff>1114929</xdr:colOff>
      <xdr:row>138</xdr:row>
      <xdr:rowOff>967382</xdr:rowOff>
    </xdr:to>
    <xdr:pic>
      <xdr:nvPicPr>
        <xdr:cNvPr id="1082" name="Picture 141" descr="Screen Clipping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052" y="384824287"/>
          <a:ext cx="921452" cy="848320"/>
        </a:xfrm>
        <a:prstGeom prst="rect">
          <a:avLst/>
        </a:prstGeom>
      </xdr:spPr>
    </xdr:pic>
    <xdr:clientData/>
  </xdr:twoCellAnchor>
  <xdr:twoCellAnchor>
    <xdr:from>
      <xdr:col>4</xdr:col>
      <xdr:colOff>148828</xdr:colOff>
      <xdr:row>205</xdr:row>
      <xdr:rowOff>74413</xdr:rowOff>
    </xdr:from>
    <xdr:to>
      <xdr:col>4</xdr:col>
      <xdr:colOff>1012751</xdr:colOff>
      <xdr:row>205</xdr:row>
      <xdr:rowOff>952498</xdr:rowOff>
    </xdr:to>
    <xdr:pic>
      <xdr:nvPicPr>
        <xdr:cNvPr id="1083" name="Picture 143" descr="Screen Clipping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3403" y="385789288"/>
          <a:ext cx="863923" cy="878085"/>
        </a:xfrm>
        <a:prstGeom prst="rect">
          <a:avLst/>
        </a:prstGeom>
      </xdr:spPr>
    </xdr:pic>
    <xdr:clientData/>
  </xdr:twoCellAnchor>
  <xdr:twoCellAnchor>
    <xdr:from>
      <xdr:col>4</xdr:col>
      <xdr:colOff>208358</xdr:colOff>
      <xdr:row>4</xdr:row>
      <xdr:rowOff>133945</xdr:rowOff>
    </xdr:from>
    <xdr:to>
      <xdr:col>4</xdr:col>
      <xdr:colOff>952499</xdr:colOff>
      <xdr:row>4</xdr:row>
      <xdr:rowOff>878086</xdr:rowOff>
    </xdr:to>
    <xdr:pic>
      <xdr:nvPicPr>
        <xdr:cNvPr id="1084" name="Picture 144" descr="Screen Clipping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2933" y="386858470"/>
          <a:ext cx="744141" cy="744141"/>
        </a:xfrm>
        <a:prstGeom prst="rect">
          <a:avLst/>
        </a:prstGeom>
      </xdr:spPr>
    </xdr:pic>
    <xdr:clientData/>
  </xdr:twoCellAnchor>
  <xdr:twoCellAnchor>
    <xdr:from>
      <xdr:col>4</xdr:col>
      <xdr:colOff>89296</xdr:colOff>
      <xdr:row>95</xdr:row>
      <xdr:rowOff>59531</xdr:rowOff>
    </xdr:from>
    <xdr:to>
      <xdr:col>4</xdr:col>
      <xdr:colOff>1013057</xdr:colOff>
      <xdr:row>95</xdr:row>
      <xdr:rowOff>952499</xdr:rowOff>
    </xdr:to>
    <xdr:pic>
      <xdr:nvPicPr>
        <xdr:cNvPr id="1085" name="Picture 147" descr="Screen Clipping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871" y="387793706"/>
          <a:ext cx="923761" cy="892968"/>
        </a:xfrm>
        <a:prstGeom prst="rect">
          <a:avLst/>
        </a:prstGeom>
      </xdr:spPr>
    </xdr:pic>
    <xdr:clientData/>
  </xdr:twoCellAnchor>
  <xdr:twoCellAnchor>
    <xdr:from>
      <xdr:col>4</xdr:col>
      <xdr:colOff>327422</xdr:colOff>
      <xdr:row>94</xdr:row>
      <xdr:rowOff>119062</xdr:rowOff>
    </xdr:from>
    <xdr:to>
      <xdr:col>4</xdr:col>
      <xdr:colOff>1106213</xdr:colOff>
      <xdr:row>94</xdr:row>
      <xdr:rowOff>936154</xdr:rowOff>
    </xdr:to>
    <xdr:pic>
      <xdr:nvPicPr>
        <xdr:cNvPr id="1086" name="Picture 148" descr="Screen Clipping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997" y="388862887"/>
          <a:ext cx="778791" cy="817092"/>
        </a:xfrm>
        <a:prstGeom prst="rect">
          <a:avLst/>
        </a:prstGeom>
      </xdr:spPr>
    </xdr:pic>
    <xdr:clientData/>
  </xdr:twoCellAnchor>
  <xdr:twoCellAnchor>
    <xdr:from>
      <xdr:col>4</xdr:col>
      <xdr:colOff>342305</xdr:colOff>
      <xdr:row>111</xdr:row>
      <xdr:rowOff>105270</xdr:rowOff>
    </xdr:from>
    <xdr:to>
      <xdr:col>4</xdr:col>
      <xdr:colOff>982265</xdr:colOff>
      <xdr:row>111</xdr:row>
      <xdr:rowOff>916925</xdr:rowOff>
    </xdr:to>
    <xdr:pic>
      <xdr:nvPicPr>
        <xdr:cNvPr id="1087" name="Picture 149" descr="Screen Clipping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6880" y="389858745"/>
          <a:ext cx="639960" cy="811655"/>
        </a:xfrm>
        <a:prstGeom prst="rect">
          <a:avLst/>
        </a:prstGeom>
      </xdr:spPr>
    </xdr:pic>
    <xdr:clientData/>
  </xdr:twoCellAnchor>
  <xdr:twoCellAnchor>
    <xdr:from>
      <xdr:col>4</xdr:col>
      <xdr:colOff>267891</xdr:colOff>
      <xdr:row>8</xdr:row>
      <xdr:rowOff>74413</xdr:rowOff>
    </xdr:from>
    <xdr:to>
      <xdr:col>4</xdr:col>
      <xdr:colOff>922734</xdr:colOff>
      <xdr:row>8</xdr:row>
      <xdr:rowOff>942792</xdr:rowOff>
    </xdr:to>
    <xdr:pic>
      <xdr:nvPicPr>
        <xdr:cNvPr id="1088" name="Picture 150" descr="Screen Clipping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2466" y="390837538"/>
          <a:ext cx="654843" cy="868379"/>
        </a:xfrm>
        <a:prstGeom prst="rect">
          <a:avLst/>
        </a:prstGeom>
      </xdr:spPr>
    </xdr:pic>
    <xdr:clientData/>
  </xdr:twoCellAnchor>
  <xdr:twoCellAnchor>
    <xdr:from>
      <xdr:col>4</xdr:col>
      <xdr:colOff>401837</xdr:colOff>
      <xdr:row>10</xdr:row>
      <xdr:rowOff>74413</xdr:rowOff>
    </xdr:from>
    <xdr:to>
      <xdr:col>4</xdr:col>
      <xdr:colOff>953493</xdr:colOff>
      <xdr:row>10</xdr:row>
      <xdr:rowOff>968991</xdr:rowOff>
    </xdr:to>
    <xdr:pic>
      <xdr:nvPicPr>
        <xdr:cNvPr id="1089" name="Picture 183" descr="Screen Clipping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6412" y="391847188"/>
          <a:ext cx="551656" cy="894578"/>
        </a:xfrm>
        <a:prstGeom prst="rect">
          <a:avLst/>
        </a:prstGeom>
      </xdr:spPr>
    </xdr:pic>
    <xdr:clientData/>
  </xdr:twoCellAnchor>
  <xdr:twoCellAnchor>
    <xdr:from>
      <xdr:col>4</xdr:col>
      <xdr:colOff>178594</xdr:colOff>
      <xdr:row>189</xdr:row>
      <xdr:rowOff>74414</xdr:rowOff>
    </xdr:from>
    <xdr:to>
      <xdr:col>4</xdr:col>
      <xdr:colOff>1071562</xdr:colOff>
      <xdr:row>189</xdr:row>
      <xdr:rowOff>953851</xdr:rowOff>
    </xdr:to>
    <xdr:pic>
      <xdr:nvPicPr>
        <xdr:cNvPr id="1090" name="Picture 185" descr="Screen Clipping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3169" y="392856839"/>
          <a:ext cx="892968" cy="879437"/>
        </a:xfrm>
        <a:prstGeom prst="rect">
          <a:avLst/>
        </a:prstGeom>
      </xdr:spPr>
    </xdr:pic>
    <xdr:clientData/>
  </xdr:twoCellAnchor>
  <xdr:twoCellAnchor>
    <xdr:from>
      <xdr:col>4</xdr:col>
      <xdr:colOff>372071</xdr:colOff>
      <xdr:row>428</xdr:row>
      <xdr:rowOff>89296</xdr:rowOff>
    </xdr:from>
    <xdr:to>
      <xdr:col>4</xdr:col>
      <xdr:colOff>841942</xdr:colOff>
      <xdr:row>428</xdr:row>
      <xdr:rowOff>911571</xdr:rowOff>
    </xdr:to>
    <xdr:pic>
      <xdr:nvPicPr>
        <xdr:cNvPr id="1091" name="Picture 188" descr="Screen Clipping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646" y="393881371"/>
          <a:ext cx="469871" cy="822275"/>
        </a:xfrm>
        <a:prstGeom prst="rect">
          <a:avLst/>
        </a:prstGeom>
      </xdr:spPr>
    </xdr:pic>
    <xdr:clientData/>
  </xdr:twoCellAnchor>
  <xdr:twoCellAnchor>
    <xdr:from>
      <xdr:col>4</xdr:col>
      <xdr:colOff>253007</xdr:colOff>
      <xdr:row>142</xdr:row>
      <xdr:rowOff>59531</xdr:rowOff>
    </xdr:from>
    <xdr:to>
      <xdr:col>4</xdr:col>
      <xdr:colOff>907851</xdr:colOff>
      <xdr:row>142</xdr:row>
      <xdr:rowOff>932656</xdr:rowOff>
    </xdr:to>
    <xdr:pic>
      <xdr:nvPicPr>
        <xdr:cNvPr id="1092" name="Picture 191" descr="Screen Clipping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582" y="394861256"/>
          <a:ext cx="654844" cy="873125"/>
        </a:xfrm>
        <a:prstGeom prst="rect">
          <a:avLst/>
        </a:prstGeom>
      </xdr:spPr>
    </xdr:pic>
    <xdr:clientData/>
  </xdr:twoCellAnchor>
  <xdr:twoCellAnchor>
    <xdr:from>
      <xdr:col>6</xdr:col>
      <xdr:colOff>163711</xdr:colOff>
      <xdr:row>189</xdr:row>
      <xdr:rowOff>104180</xdr:rowOff>
    </xdr:from>
    <xdr:to>
      <xdr:col>6</xdr:col>
      <xdr:colOff>1794868</xdr:colOff>
      <xdr:row>189</xdr:row>
      <xdr:rowOff>878086</xdr:rowOff>
    </xdr:to>
    <xdr:pic>
      <xdr:nvPicPr>
        <xdr:cNvPr id="1093" name="Picture 192" descr="Screen Clipping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6736" y="392886605"/>
          <a:ext cx="1631157" cy="773906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205</xdr:row>
      <xdr:rowOff>59532</xdr:rowOff>
    </xdr:from>
    <xdr:to>
      <xdr:col>6</xdr:col>
      <xdr:colOff>1834988</xdr:colOff>
      <xdr:row>205</xdr:row>
      <xdr:rowOff>878796</xdr:rowOff>
    </xdr:to>
    <xdr:pic>
      <xdr:nvPicPr>
        <xdr:cNvPr id="1094" name="Picture 194" descr="Screen Clipping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1853" y="385774407"/>
          <a:ext cx="1686160" cy="819264"/>
        </a:xfrm>
        <a:prstGeom prst="rect">
          <a:avLst/>
        </a:prstGeom>
      </xdr:spPr>
    </xdr:pic>
    <xdr:clientData/>
  </xdr:twoCellAnchor>
  <xdr:twoCellAnchor>
    <xdr:from>
      <xdr:col>6</xdr:col>
      <xdr:colOff>193477</xdr:colOff>
      <xdr:row>13</xdr:row>
      <xdr:rowOff>89296</xdr:rowOff>
    </xdr:from>
    <xdr:to>
      <xdr:col>6</xdr:col>
      <xdr:colOff>1803427</xdr:colOff>
      <xdr:row>13</xdr:row>
      <xdr:rowOff>937139</xdr:rowOff>
    </xdr:to>
    <xdr:pic>
      <xdr:nvPicPr>
        <xdr:cNvPr id="1095" name="Picture 200" descr="Screen Clipping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6502" y="381765571"/>
          <a:ext cx="1609950" cy="847843"/>
        </a:xfrm>
        <a:prstGeom prst="rect">
          <a:avLst/>
        </a:prstGeom>
      </xdr:spPr>
    </xdr:pic>
    <xdr:clientData/>
  </xdr:twoCellAnchor>
  <xdr:twoCellAnchor>
    <xdr:from>
      <xdr:col>6</xdr:col>
      <xdr:colOff>253008</xdr:colOff>
      <xdr:row>138</xdr:row>
      <xdr:rowOff>133945</xdr:rowOff>
    </xdr:from>
    <xdr:to>
      <xdr:col>6</xdr:col>
      <xdr:colOff>1882010</xdr:colOff>
      <xdr:row>138</xdr:row>
      <xdr:rowOff>943683</xdr:rowOff>
    </xdr:to>
    <xdr:pic>
      <xdr:nvPicPr>
        <xdr:cNvPr id="1096" name="Picture 202" descr="Screen Clipping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6033" y="384839170"/>
          <a:ext cx="1629002" cy="809738"/>
        </a:xfrm>
        <a:prstGeom prst="rect">
          <a:avLst/>
        </a:prstGeom>
      </xdr:spPr>
    </xdr:pic>
    <xdr:clientData/>
  </xdr:twoCellAnchor>
  <xdr:twoCellAnchor>
    <xdr:from>
      <xdr:col>6</xdr:col>
      <xdr:colOff>104179</xdr:colOff>
      <xdr:row>14</xdr:row>
      <xdr:rowOff>74414</xdr:rowOff>
    </xdr:from>
    <xdr:to>
      <xdr:col>6</xdr:col>
      <xdr:colOff>1723655</xdr:colOff>
      <xdr:row>14</xdr:row>
      <xdr:rowOff>893678</xdr:rowOff>
    </xdr:to>
    <xdr:pic>
      <xdr:nvPicPr>
        <xdr:cNvPr id="1097" name="Picture 203" descr="Screen Clipping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204" y="380741039"/>
          <a:ext cx="1619476" cy="819264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410</xdr:row>
      <xdr:rowOff>44649</xdr:rowOff>
    </xdr:from>
    <xdr:to>
      <xdr:col>6</xdr:col>
      <xdr:colOff>1757592</xdr:colOff>
      <xdr:row>410</xdr:row>
      <xdr:rowOff>863913</xdr:rowOff>
    </xdr:to>
    <xdr:pic>
      <xdr:nvPicPr>
        <xdr:cNvPr id="1098" name="Picture 293" descr="Screen Clipping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2088" y="375663024"/>
          <a:ext cx="1638529" cy="819264"/>
        </a:xfrm>
        <a:prstGeom prst="rect">
          <a:avLst/>
        </a:prstGeom>
      </xdr:spPr>
    </xdr:pic>
    <xdr:clientData/>
  </xdr:twoCellAnchor>
  <xdr:twoCellAnchor>
    <xdr:from>
      <xdr:col>6</xdr:col>
      <xdr:colOff>119062</xdr:colOff>
      <xdr:row>164</xdr:row>
      <xdr:rowOff>104180</xdr:rowOff>
    </xdr:from>
    <xdr:to>
      <xdr:col>6</xdr:col>
      <xdr:colOff>1767117</xdr:colOff>
      <xdr:row>164</xdr:row>
      <xdr:rowOff>913918</xdr:rowOff>
    </xdr:to>
    <xdr:pic>
      <xdr:nvPicPr>
        <xdr:cNvPr id="1099" name="Picture 296" descr="Screen Clipping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2087" y="376732205"/>
          <a:ext cx="1648055" cy="809738"/>
        </a:xfrm>
        <a:prstGeom prst="rect">
          <a:avLst/>
        </a:prstGeom>
      </xdr:spPr>
    </xdr:pic>
    <xdr:clientData/>
  </xdr:twoCellAnchor>
  <xdr:twoCellAnchor>
    <xdr:from>
      <xdr:col>6</xdr:col>
      <xdr:colOff>193477</xdr:colOff>
      <xdr:row>8</xdr:row>
      <xdr:rowOff>119062</xdr:rowOff>
    </xdr:from>
    <xdr:to>
      <xdr:col>6</xdr:col>
      <xdr:colOff>1860585</xdr:colOff>
      <xdr:row>8</xdr:row>
      <xdr:rowOff>947853</xdr:rowOff>
    </xdr:to>
    <xdr:pic>
      <xdr:nvPicPr>
        <xdr:cNvPr id="1100" name="Picture 372" descr="Screen Clipping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6502" y="390882187"/>
          <a:ext cx="1667108" cy="828791"/>
        </a:xfrm>
        <a:prstGeom prst="rect">
          <a:avLst/>
        </a:prstGeom>
      </xdr:spPr>
    </xdr:pic>
    <xdr:clientData/>
  </xdr:twoCellAnchor>
  <xdr:twoCellAnchor>
    <xdr:from>
      <xdr:col>6</xdr:col>
      <xdr:colOff>89297</xdr:colOff>
      <xdr:row>10</xdr:row>
      <xdr:rowOff>74415</xdr:rowOff>
    </xdr:from>
    <xdr:to>
      <xdr:col>6</xdr:col>
      <xdr:colOff>1699247</xdr:colOff>
      <xdr:row>10</xdr:row>
      <xdr:rowOff>884153</xdr:rowOff>
    </xdr:to>
    <xdr:pic>
      <xdr:nvPicPr>
        <xdr:cNvPr id="1101" name="Picture 426" descr="Screen Clipping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2322" y="391847190"/>
          <a:ext cx="1609950" cy="809738"/>
        </a:xfrm>
        <a:prstGeom prst="rect">
          <a:avLst/>
        </a:prstGeom>
      </xdr:spPr>
    </xdr:pic>
    <xdr:clientData/>
  </xdr:twoCellAnchor>
  <xdr:twoCellAnchor>
    <xdr:from>
      <xdr:col>6</xdr:col>
      <xdr:colOff>89297</xdr:colOff>
      <xdr:row>441</xdr:row>
      <xdr:rowOff>74414</xdr:rowOff>
    </xdr:from>
    <xdr:to>
      <xdr:col>6</xdr:col>
      <xdr:colOff>1718299</xdr:colOff>
      <xdr:row>441</xdr:row>
      <xdr:rowOff>846047</xdr:rowOff>
    </xdr:to>
    <xdr:pic>
      <xdr:nvPicPr>
        <xdr:cNvPr id="1102" name="Picture 453" descr="Screen Clipping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2322" y="378721739"/>
          <a:ext cx="1629002" cy="771633"/>
        </a:xfrm>
        <a:prstGeom prst="rect">
          <a:avLst/>
        </a:prstGeom>
      </xdr:spPr>
    </xdr:pic>
    <xdr:clientData/>
  </xdr:twoCellAnchor>
  <xdr:twoCellAnchor>
    <xdr:from>
      <xdr:col>6</xdr:col>
      <xdr:colOff>133946</xdr:colOff>
      <xdr:row>4</xdr:row>
      <xdr:rowOff>133946</xdr:rowOff>
    </xdr:from>
    <xdr:to>
      <xdr:col>6</xdr:col>
      <xdr:colOff>1905843</xdr:colOff>
      <xdr:row>4</xdr:row>
      <xdr:rowOff>991316</xdr:rowOff>
    </xdr:to>
    <xdr:pic>
      <xdr:nvPicPr>
        <xdr:cNvPr id="1103" name="Picture 454" descr="Screen Clipping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6971" y="386858471"/>
          <a:ext cx="1771897" cy="857370"/>
        </a:xfrm>
        <a:prstGeom prst="rect">
          <a:avLst/>
        </a:prstGeom>
      </xdr:spPr>
    </xdr:pic>
    <xdr:clientData/>
  </xdr:twoCellAnchor>
  <xdr:twoCellAnchor>
    <xdr:from>
      <xdr:col>6</xdr:col>
      <xdr:colOff>223242</xdr:colOff>
      <xdr:row>7</xdr:row>
      <xdr:rowOff>44649</xdr:rowOff>
    </xdr:from>
    <xdr:to>
      <xdr:col>6</xdr:col>
      <xdr:colOff>1823665</xdr:colOff>
      <xdr:row>7</xdr:row>
      <xdr:rowOff>892492</xdr:rowOff>
    </xdr:to>
    <xdr:pic>
      <xdr:nvPicPr>
        <xdr:cNvPr id="1104" name="Picture 455" descr="Screen Clipping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6267" y="383740224"/>
          <a:ext cx="1600423" cy="847843"/>
        </a:xfrm>
        <a:prstGeom prst="rect">
          <a:avLst/>
        </a:prstGeom>
      </xdr:spPr>
    </xdr:pic>
    <xdr:clientData/>
  </xdr:twoCellAnchor>
  <xdr:twoCellAnchor>
    <xdr:from>
      <xdr:col>6</xdr:col>
      <xdr:colOff>178593</xdr:colOff>
      <xdr:row>73</xdr:row>
      <xdr:rowOff>59531</xdr:rowOff>
    </xdr:from>
    <xdr:to>
      <xdr:col>6</xdr:col>
      <xdr:colOff>1788543</xdr:colOff>
      <xdr:row>73</xdr:row>
      <xdr:rowOff>859743</xdr:rowOff>
    </xdr:to>
    <xdr:pic>
      <xdr:nvPicPr>
        <xdr:cNvPr id="1105" name="Picture 456" descr="Screen Clipping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1618" y="379716506"/>
          <a:ext cx="1609950" cy="800212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428</xdr:row>
      <xdr:rowOff>89297</xdr:rowOff>
    </xdr:from>
    <xdr:to>
      <xdr:col>6</xdr:col>
      <xdr:colOff>1758778</xdr:colOff>
      <xdr:row>428</xdr:row>
      <xdr:rowOff>879982</xdr:rowOff>
    </xdr:to>
    <xdr:pic>
      <xdr:nvPicPr>
        <xdr:cNvPr id="1106" name="Picture 457" descr="Screen Clipping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1853" y="393881372"/>
          <a:ext cx="1609950" cy="790685"/>
        </a:xfrm>
        <a:prstGeom prst="rect">
          <a:avLst/>
        </a:prstGeom>
      </xdr:spPr>
    </xdr:pic>
    <xdr:clientData/>
  </xdr:twoCellAnchor>
  <xdr:twoCellAnchor>
    <xdr:from>
      <xdr:col>6</xdr:col>
      <xdr:colOff>104180</xdr:colOff>
      <xdr:row>142</xdr:row>
      <xdr:rowOff>59532</xdr:rowOff>
    </xdr:from>
    <xdr:to>
      <xdr:col>6</xdr:col>
      <xdr:colOff>1695077</xdr:colOff>
      <xdr:row>142</xdr:row>
      <xdr:rowOff>888323</xdr:rowOff>
    </xdr:to>
    <xdr:pic>
      <xdr:nvPicPr>
        <xdr:cNvPr id="1107" name="Picture 458" descr="Screen Clipping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205" y="394861257"/>
          <a:ext cx="1590897" cy="828791"/>
        </a:xfrm>
        <a:prstGeom prst="rect">
          <a:avLst/>
        </a:prstGeom>
      </xdr:spPr>
    </xdr:pic>
    <xdr:clientData/>
  </xdr:twoCellAnchor>
  <xdr:twoCellAnchor>
    <xdr:from>
      <xdr:col>6</xdr:col>
      <xdr:colOff>89297</xdr:colOff>
      <xdr:row>409</xdr:row>
      <xdr:rowOff>44649</xdr:rowOff>
    </xdr:from>
    <xdr:to>
      <xdr:col>6</xdr:col>
      <xdr:colOff>1670668</xdr:colOff>
      <xdr:row>409</xdr:row>
      <xdr:rowOff>863913</xdr:rowOff>
    </xdr:to>
    <xdr:pic>
      <xdr:nvPicPr>
        <xdr:cNvPr id="1108" name="Picture 459" descr="Screen Clipping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2322" y="374653374"/>
          <a:ext cx="1581371" cy="819264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94</xdr:row>
      <xdr:rowOff>89297</xdr:rowOff>
    </xdr:from>
    <xdr:to>
      <xdr:col>6</xdr:col>
      <xdr:colOff>1767118</xdr:colOff>
      <xdr:row>94</xdr:row>
      <xdr:rowOff>908561</xdr:rowOff>
    </xdr:to>
    <xdr:pic>
      <xdr:nvPicPr>
        <xdr:cNvPr id="1109" name="Picture 460" descr="Screen Clipping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2088" y="388833122"/>
          <a:ext cx="1648055" cy="819264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95</xdr:row>
      <xdr:rowOff>104180</xdr:rowOff>
    </xdr:from>
    <xdr:to>
      <xdr:col>6</xdr:col>
      <xdr:colOff>1834988</xdr:colOff>
      <xdr:row>95</xdr:row>
      <xdr:rowOff>942497</xdr:rowOff>
    </xdr:to>
    <xdr:pic>
      <xdr:nvPicPr>
        <xdr:cNvPr id="1110" name="Picture 461" descr="Screen Clipping"/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1853" y="387838355"/>
          <a:ext cx="1686160" cy="838317"/>
        </a:xfrm>
        <a:prstGeom prst="rect">
          <a:avLst/>
        </a:prstGeom>
      </xdr:spPr>
    </xdr:pic>
    <xdr:clientData/>
  </xdr:twoCellAnchor>
  <xdr:twoCellAnchor>
    <xdr:from>
      <xdr:col>6</xdr:col>
      <xdr:colOff>104179</xdr:colOff>
      <xdr:row>89</xdr:row>
      <xdr:rowOff>74414</xdr:rowOff>
    </xdr:from>
    <xdr:to>
      <xdr:col>6</xdr:col>
      <xdr:colOff>1742708</xdr:colOff>
      <xdr:row>89</xdr:row>
      <xdr:rowOff>941310</xdr:rowOff>
    </xdr:to>
    <xdr:pic>
      <xdr:nvPicPr>
        <xdr:cNvPr id="1111" name="Picture 462" descr="Screen Clipping"/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204" y="382760339"/>
          <a:ext cx="1638529" cy="866896"/>
        </a:xfrm>
        <a:prstGeom prst="rect">
          <a:avLst/>
        </a:prstGeom>
      </xdr:spPr>
    </xdr:pic>
    <xdr:clientData/>
  </xdr:twoCellAnchor>
  <xdr:twoCellAnchor>
    <xdr:from>
      <xdr:col>6</xdr:col>
      <xdr:colOff>89297</xdr:colOff>
      <xdr:row>91</xdr:row>
      <xdr:rowOff>44649</xdr:rowOff>
    </xdr:from>
    <xdr:to>
      <xdr:col>6</xdr:col>
      <xdr:colOff>1727826</xdr:colOff>
      <xdr:row>91</xdr:row>
      <xdr:rowOff>873440</xdr:rowOff>
    </xdr:to>
    <xdr:pic>
      <xdr:nvPicPr>
        <xdr:cNvPr id="1112" name="Picture 463" descr="Screen Clipping"/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2322" y="377682324"/>
          <a:ext cx="1638529" cy="828791"/>
        </a:xfrm>
        <a:prstGeom prst="rect">
          <a:avLst/>
        </a:prstGeom>
      </xdr:spPr>
    </xdr:pic>
    <xdr:clientData/>
  </xdr:twoCellAnchor>
  <xdr:twoCellAnchor>
    <xdr:from>
      <xdr:col>6</xdr:col>
      <xdr:colOff>44649</xdr:colOff>
      <xdr:row>111</xdr:row>
      <xdr:rowOff>29766</xdr:rowOff>
    </xdr:from>
    <xdr:to>
      <xdr:col>6</xdr:col>
      <xdr:colOff>1730809</xdr:colOff>
      <xdr:row>111</xdr:row>
      <xdr:rowOff>896662</xdr:rowOff>
    </xdr:to>
    <xdr:pic>
      <xdr:nvPicPr>
        <xdr:cNvPr id="1113" name="Picture 467" descr="Screen Clipping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7674" y="389783241"/>
          <a:ext cx="1686160" cy="866896"/>
        </a:xfrm>
        <a:prstGeom prst="rect">
          <a:avLst/>
        </a:prstGeom>
      </xdr:spPr>
    </xdr:pic>
    <xdr:clientData/>
  </xdr:twoCellAnchor>
  <xdr:twoCellAnchor>
    <xdr:from>
      <xdr:col>4</xdr:col>
      <xdr:colOff>357187</xdr:colOff>
      <xdr:row>306</xdr:row>
      <xdr:rowOff>238125</xdr:rowOff>
    </xdr:from>
    <xdr:to>
      <xdr:col>4</xdr:col>
      <xdr:colOff>833377</xdr:colOff>
      <xdr:row>306</xdr:row>
      <xdr:rowOff>819077</xdr:rowOff>
    </xdr:to>
    <xdr:pic>
      <xdr:nvPicPr>
        <xdr:cNvPr id="145" name="圖片 144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3899296" y="392325820"/>
          <a:ext cx="476190" cy="580952"/>
        </a:xfrm>
        <a:prstGeom prst="rect">
          <a:avLst/>
        </a:prstGeom>
      </xdr:spPr>
    </xdr:pic>
    <xdr:clientData/>
  </xdr:twoCellAnchor>
  <xdr:twoCellAnchor>
    <xdr:from>
      <xdr:col>6</xdr:col>
      <xdr:colOff>461367</xdr:colOff>
      <xdr:row>306</xdr:row>
      <xdr:rowOff>193476</xdr:rowOff>
    </xdr:from>
    <xdr:to>
      <xdr:col>6</xdr:col>
      <xdr:colOff>1718510</xdr:colOff>
      <xdr:row>306</xdr:row>
      <xdr:rowOff>850619</xdr:rowOff>
    </xdr:to>
    <xdr:pic>
      <xdr:nvPicPr>
        <xdr:cNvPr id="149" name="圖片 148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10656094" y="392281171"/>
          <a:ext cx="1257143" cy="657143"/>
        </a:xfrm>
        <a:prstGeom prst="rect">
          <a:avLst/>
        </a:prstGeom>
      </xdr:spPr>
    </xdr:pic>
    <xdr:clientData/>
  </xdr:twoCellAnchor>
  <xdr:twoCellAnchor>
    <xdr:from>
      <xdr:col>4</xdr:col>
      <xdr:colOff>312539</xdr:colOff>
      <xdr:row>301</xdr:row>
      <xdr:rowOff>297657</xdr:rowOff>
    </xdr:from>
    <xdr:to>
      <xdr:col>4</xdr:col>
      <xdr:colOff>798253</xdr:colOff>
      <xdr:row>301</xdr:row>
      <xdr:rowOff>850038</xdr:rowOff>
    </xdr:to>
    <xdr:pic>
      <xdr:nvPicPr>
        <xdr:cNvPr id="151" name="圖片 150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3854648" y="393382501"/>
          <a:ext cx="485714" cy="552381"/>
        </a:xfrm>
        <a:prstGeom prst="rect">
          <a:avLst/>
        </a:prstGeom>
      </xdr:spPr>
    </xdr:pic>
    <xdr:clientData/>
  </xdr:twoCellAnchor>
  <xdr:twoCellAnchor>
    <xdr:from>
      <xdr:col>6</xdr:col>
      <xdr:colOff>416719</xdr:colOff>
      <xdr:row>301</xdr:row>
      <xdr:rowOff>148828</xdr:rowOff>
    </xdr:from>
    <xdr:to>
      <xdr:col>6</xdr:col>
      <xdr:colOff>1664338</xdr:colOff>
      <xdr:row>301</xdr:row>
      <xdr:rowOff>844066</xdr:rowOff>
    </xdr:to>
    <xdr:pic>
      <xdr:nvPicPr>
        <xdr:cNvPr id="186" name="圖片 18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10611446" y="393233672"/>
          <a:ext cx="1247619" cy="695238"/>
        </a:xfrm>
        <a:prstGeom prst="rect">
          <a:avLst/>
        </a:prstGeom>
      </xdr:spPr>
    </xdr:pic>
    <xdr:clientData/>
  </xdr:twoCellAnchor>
  <xdr:twoCellAnchor>
    <xdr:from>
      <xdr:col>4</xdr:col>
      <xdr:colOff>312539</xdr:colOff>
      <xdr:row>303</xdr:row>
      <xdr:rowOff>223242</xdr:rowOff>
    </xdr:from>
    <xdr:to>
      <xdr:col>4</xdr:col>
      <xdr:colOff>788729</xdr:colOff>
      <xdr:row>303</xdr:row>
      <xdr:rowOff>889909</xdr:rowOff>
    </xdr:to>
    <xdr:pic>
      <xdr:nvPicPr>
        <xdr:cNvPr id="189" name="圖片 188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3854648" y="394305234"/>
          <a:ext cx="476190" cy="666667"/>
        </a:xfrm>
        <a:prstGeom prst="rect">
          <a:avLst/>
        </a:prstGeom>
      </xdr:spPr>
    </xdr:pic>
    <xdr:clientData/>
  </xdr:twoCellAnchor>
  <xdr:twoCellAnchor>
    <xdr:from>
      <xdr:col>6</xdr:col>
      <xdr:colOff>386953</xdr:colOff>
      <xdr:row>303</xdr:row>
      <xdr:rowOff>178594</xdr:rowOff>
    </xdr:from>
    <xdr:to>
      <xdr:col>6</xdr:col>
      <xdr:colOff>1682191</xdr:colOff>
      <xdr:row>303</xdr:row>
      <xdr:rowOff>835737</xdr:rowOff>
    </xdr:to>
    <xdr:pic>
      <xdr:nvPicPr>
        <xdr:cNvPr id="192" name="圖片 191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10581680" y="394260586"/>
          <a:ext cx="1295238" cy="657143"/>
        </a:xfrm>
        <a:prstGeom prst="rect">
          <a:avLst/>
        </a:prstGeom>
      </xdr:spPr>
    </xdr:pic>
    <xdr:clientData/>
  </xdr:twoCellAnchor>
  <xdr:twoCellAnchor>
    <xdr:from>
      <xdr:col>4</xdr:col>
      <xdr:colOff>416718</xdr:colOff>
      <xdr:row>298</xdr:row>
      <xdr:rowOff>327422</xdr:rowOff>
    </xdr:from>
    <xdr:to>
      <xdr:col>4</xdr:col>
      <xdr:colOff>835766</xdr:colOff>
      <xdr:row>298</xdr:row>
      <xdr:rowOff>889327</xdr:rowOff>
    </xdr:to>
    <xdr:pic>
      <xdr:nvPicPr>
        <xdr:cNvPr id="195" name="圖片 194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3958827" y="395406563"/>
          <a:ext cx="419048" cy="561905"/>
        </a:xfrm>
        <a:prstGeom prst="rect">
          <a:avLst/>
        </a:prstGeom>
      </xdr:spPr>
    </xdr:pic>
    <xdr:clientData/>
  </xdr:twoCellAnchor>
  <xdr:twoCellAnchor>
    <xdr:from>
      <xdr:col>6</xdr:col>
      <xdr:colOff>401836</xdr:colOff>
      <xdr:row>298</xdr:row>
      <xdr:rowOff>208359</xdr:rowOff>
    </xdr:from>
    <xdr:to>
      <xdr:col>6</xdr:col>
      <xdr:colOff>1782788</xdr:colOff>
      <xdr:row>298</xdr:row>
      <xdr:rowOff>913121</xdr:rowOff>
    </xdr:to>
    <xdr:pic>
      <xdr:nvPicPr>
        <xdr:cNvPr id="203" name="圖片 202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10596563" y="395287500"/>
          <a:ext cx="1380952" cy="704762"/>
        </a:xfrm>
        <a:prstGeom prst="rect">
          <a:avLst/>
        </a:prstGeom>
      </xdr:spPr>
    </xdr:pic>
    <xdr:clientData/>
  </xdr:twoCellAnchor>
  <xdr:twoCellAnchor>
    <xdr:from>
      <xdr:col>4</xdr:col>
      <xdr:colOff>327422</xdr:colOff>
      <xdr:row>304</xdr:row>
      <xdr:rowOff>312539</xdr:rowOff>
    </xdr:from>
    <xdr:to>
      <xdr:col>4</xdr:col>
      <xdr:colOff>746470</xdr:colOff>
      <xdr:row>304</xdr:row>
      <xdr:rowOff>903015</xdr:rowOff>
    </xdr:to>
    <xdr:pic>
      <xdr:nvPicPr>
        <xdr:cNvPr id="294" name="圖片 293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3869531" y="396388828"/>
          <a:ext cx="419048" cy="590476"/>
        </a:xfrm>
        <a:prstGeom prst="rect">
          <a:avLst/>
        </a:prstGeom>
      </xdr:spPr>
    </xdr:pic>
    <xdr:clientData/>
  </xdr:twoCellAnchor>
  <xdr:twoCellAnchor>
    <xdr:from>
      <xdr:col>6</xdr:col>
      <xdr:colOff>372071</xdr:colOff>
      <xdr:row>304</xdr:row>
      <xdr:rowOff>193476</xdr:rowOff>
    </xdr:from>
    <xdr:to>
      <xdr:col>6</xdr:col>
      <xdr:colOff>1657785</xdr:colOff>
      <xdr:row>304</xdr:row>
      <xdr:rowOff>926809</xdr:rowOff>
    </xdr:to>
    <xdr:pic>
      <xdr:nvPicPr>
        <xdr:cNvPr id="297" name="圖片 296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10566798" y="396269765"/>
          <a:ext cx="1285714" cy="733333"/>
        </a:xfrm>
        <a:prstGeom prst="rect">
          <a:avLst/>
        </a:prstGeom>
      </xdr:spPr>
    </xdr:pic>
    <xdr:clientData/>
  </xdr:twoCellAnchor>
  <xdr:twoCellAnchor>
    <xdr:from>
      <xdr:col>4</xdr:col>
      <xdr:colOff>312539</xdr:colOff>
      <xdr:row>305</xdr:row>
      <xdr:rowOff>267891</xdr:rowOff>
    </xdr:from>
    <xdr:to>
      <xdr:col>4</xdr:col>
      <xdr:colOff>845872</xdr:colOff>
      <xdr:row>305</xdr:row>
      <xdr:rowOff>839320</xdr:rowOff>
    </xdr:to>
    <xdr:pic>
      <xdr:nvPicPr>
        <xdr:cNvPr id="427" name="圖片 426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3854648" y="397341329"/>
          <a:ext cx="533333" cy="571429"/>
        </a:xfrm>
        <a:prstGeom prst="rect">
          <a:avLst/>
        </a:prstGeom>
      </xdr:spPr>
    </xdr:pic>
    <xdr:clientData/>
  </xdr:twoCellAnchor>
  <xdr:twoCellAnchor>
    <xdr:from>
      <xdr:col>6</xdr:col>
      <xdr:colOff>416719</xdr:colOff>
      <xdr:row>305</xdr:row>
      <xdr:rowOff>178593</xdr:rowOff>
    </xdr:from>
    <xdr:to>
      <xdr:col>6</xdr:col>
      <xdr:colOff>1788148</xdr:colOff>
      <xdr:row>305</xdr:row>
      <xdr:rowOff>883355</xdr:rowOff>
    </xdr:to>
    <xdr:pic>
      <xdr:nvPicPr>
        <xdr:cNvPr id="455" name="圖片 454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10611446" y="397252031"/>
          <a:ext cx="1371429" cy="704762"/>
        </a:xfrm>
        <a:prstGeom prst="rect">
          <a:avLst/>
        </a:prstGeom>
      </xdr:spPr>
    </xdr:pic>
    <xdr:clientData/>
  </xdr:twoCellAnchor>
  <xdr:twoCellAnchor>
    <xdr:from>
      <xdr:col>4</xdr:col>
      <xdr:colOff>312539</xdr:colOff>
      <xdr:row>300</xdr:row>
      <xdr:rowOff>312539</xdr:rowOff>
    </xdr:from>
    <xdr:to>
      <xdr:col>4</xdr:col>
      <xdr:colOff>798253</xdr:colOff>
      <xdr:row>300</xdr:row>
      <xdr:rowOff>893491</xdr:rowOff>
    </xdr:to>
    <xdr:pic>
      <xdr:nvPicPr>
        <xdr:cNvPr id="456" name="圖片 455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3854648" y="398383125"/>
          <a:ext cx="485714" cy="580952"/>
        </a:xfrm>
        <a:prstGeom prst="rect">
          <a:avLst/>
        </a:prstGeom>
      </xdr:spPr>
    </xdr:pic>
    <xdr:clientData/>
  </xdr:twoCellAnchor>
  <xdr:twoCellAnchor>
    <xdr:from>
      <xdr:col>6</xdr:col>
      <xdr:colOff>491133</xdr:colOff>
      <xdr:row>300</xdr:row>
      <xdr:rowOff>163711</xdr:rowOff>
    </xdr:from>
    <xdr:to>
      <xdr:col>6</xdr:col>
      <xdr:colOff>1776847</xdr:colOff>
      <xdr:row>300</xdr:row>
      <xdr:rowOff>887521</xdr:rowOff>
    </xdr:to>
    <xdr:pic>
      <xdr:nvPicPr>
        <xdr:cNvPr id="458" name="圖片 457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10685860" y="398234297"/>
          <a:ext cx="1285714" cy="723810"/>
        </a:xfrm>
        <a:prstGeom prst="rect">
          <a:avLst/>
        </a:prstGeom>
      </xdr:spPr>
    </xdr:pic>
    <xdr:clientData/>
  </xdr:twoCellAnchor>
  <xdr:twoCellAnchor>
    <xdr:from>
      <xdr:col>4</xdr:col>
      <xdr:colOff>282774</xdr:colOff>
      <xdr:row>302</xdr:row>
      <xdr:rowOff>297657</xdr:rowOff>
    </xdr:from>
    <xdr:to>
      <xdr:col>4</xdr:col>
      <xdr:colOff>730393</xdr:colOff>
      <xdr:row>302</xdr:row>
      <xdr:rowOff>907181</xdr:rowOff>
    </xdr:to>
    <xdr:pic>
      <xdr:nvPicPr>
        <xdr:cNvPr id="460" name="圖片 459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3824883" y="399365391"/>
          <a:ext cx="447619" cy="609524"/>
        </a:xfrm>
        <a:prstGeom prst="rect">
          <a:avLst/>
        </a:prstGeom>
      </xdr:spPr>
    </xdr:pic>
    <xdr:clientData/>
  </xdr:twoCellAnchor>
  <xdr:twoCellAnchor>
    <xdr:from>
      <xdr:col>4</xdr:col>
      <xdr:colOff>267891</xdr:colOff>
      <xdr:row>299</xdr:row>
      <xdr:rowOff>312540</xdr:rowOff>
    </xdr:from>
    <xdr:to>
      <xdr:col>4</xdr:col>
      <xdr:colOff>753605</xdr:colOff>
      <xdr:row>299</xdr:row>
      <xdr:rowOff>883969</xdr:rowOff>
    </xdr:to>
    <xdr:pic>
      <xdr:nvPicPr>
        <xdr:cNvPr id="462" name="圖片 461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3810000" y="400377423"/>
          <a:ext cx="485714" cy="571429"/>
        </a:xfrm>
        <a:prstGeom prst="rect">
          <a:avLst/>
        </a:prstGeom>
      </xdr:spPr>
    </xdr:pic>
    <xdr:clientData/>
  </xdr:twoCellAnchor>
  <xdr:twoCellAnchor>
    <xdr:from>
      <xdr:col>6</xdr:col>
      <xdr:colOff>431601</xdr:colOff>
      <xdr:row>299</xdr:row>
      <xdr:rowOff>163711</xdr:rowOff>
    </xdr:from>
    <xdr:to>
      <xdr:col>6</xdr:col>
      <xdr:colOff>1764934</xdr:colOff>
      <xdr:row>299</xdr:row>
      <xdr:rowOff>916092</xdr:rowOff>
    </xdr:to>
    <xdr:pic>
      <xdr:nvPicPr>
        <xdr:cNvPr id="464" name="圖片 463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10626328" y="400228594"/>
          <a:ext cx="1333333" cy="752381"/>
        </a:xfrm>
        <a:prstGeom prst="rect">
          <a:avLst/>
        </a:prstGeom>
      </xdr:spPr>
    </xdr:pic>
    <xdr:clientData/>
  </xdr:twoCellAnchor>
  <xdr:twoCellAnchor>
    <xdr:from>
      <xdr:col>6</xdr:col>
      <xdr:colOff>446485</xdr:colOff>
      <xdr:row>302</xdr:row>
      <xdr:rowOff>178594</xdr:rowOff>
    </xdr:from>
    <xdr:to>
      <xdr:col>6</xdr:col>
      <xdr:colOff>1760771</xdr:colOff>
      <xdr:row>302</xdr:row>
      <xdr:rowOff>797642</xdr:rowOff>
    </xdr:to>
    <xdr:pic>
      <xdr:nvPicPr>
        <xdr:cNvPr id="469" name="圖片 468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10641212" y="399246328"/>
          <a:ext cx="1314286" cy="619048"/>
        </a:xfrm>
        <a:prstGeom prst="rect">
          <a:avLst/>
        </a:prstGeom>
      </xdr:spPr>
    </xdr:pic>
    <xdr:clientData/>
  </xdr:twoCellAnchor>
  <xdr:twoCellAnchor>
    <xdr:from>
      <xdr:col>4</xdr:col>
      <xdr:colOff>357188</xdr:colOff>
      <xdr:row>376</xdr:row>
      <xdr:rowOff>297656</xdr:rowOff>
    </xdr:from>
    <xdr:to>
      <xdr:col>4</xdr:col>
      <xdr:colOff>871474</xdr:colOff>
      <xdr:row>376</xdr:row>
      <xdr:rowOff>821466</xdr:rowOff>
    </xdr:to>
    <xdr:pic>
      <xdr:nvPicPr>
        <xdr:cNvPr id="471" name="圖片 470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3899297" y="401359687"/>
          <a:ext cx="514286" cy="523810"/>
        </a:xfrm>
        <a:prstGeom prst="rect">
          <a:avLst/>
        </a:prstGeom>
      </xdr:spPr>
    </xdr:pic>
    <xdr:clientData/>
  </xdr:twoCellAnchor>
  <xdr:twoCellAnchor>
    <xdr:from>
      <xdr:col>4</xdr:col>
      <xdr:colOff>357188</xdr:colOff>
      <xdr:row>377</xdr:row>
      <xdr:rowOff>297656</xdr:rowOff>
    </xdr:from>
    <xdr:to>
      <xdr:col>4</xdr:col>
      <xdr:colOff>871474</xdr:colOff>
      <xdr:row>377</xdr:row>
      <xdr:rowOff>821466</xdr:rowOff>
    </xdr:to>
    <xdr:pic>
      <xdr:nvPicPr>
        <xdr:cNvPr id="1114" name="圖片 1113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3899297" y="401359687"/>
          <a:ext cx="514286" cy="523810"/>
        </a:xfrm>
        <a:prstGeom prst="rect">
          <a:avLst/>
        </a:prstGeom>
      </xdr:spPr>
    </xdr:pic>
    <xdr:clientData/>
  </xdr:twoCellAnchor>
  <xdr:twoCellAnchor>
    <xdr:from>
      <xdr:col>4</xdr:col>
      <xdr:colOff>357188</xdr:colOff>
      <xdr:row>378</xdr:row>
      <xdr:rowOff>297656</xdr:rowOff>
    </xdr:from>
    <xdr:to>
      <xdr:col>4</xdr:col>
      <xdr:colOff>871474</xdr:colOff>
      <xdr:row>378</xdr:row>
      <xdr:rowOff>821466</xdr:rowOff>
    </xdr:to>
    <xdr:pic>
      <xdr:nvPicPr>
        <xdr:cNvPr id="1115" name="圖片 1114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3899297" y="401359687"/>
          <a:ext cx="514286" cy="523810"/>
        </a:xfrm>
        <a:prstGeom prst="rect">
          <a:avLst/>
        </a:prstGeom>
      </xdr:spPr>
    </xdr:pic>
    <xdr:clientData/>
  </xdr:twoCellAnchor>
  <xdr:twoCellAnchor>
    <xdr:from>
      <xdr:col>4</xdr:col>
      <xdr:colOff>357188</xdr:colOff>
      <xdr:row>379</xdr:row>
      <xdr:rowOff>297656</xdr:rowOff>
    </xdr:from>
    <xdr:to>
      <xdr:col>4</xdr:col>
      <xdr:colOff>871474</xdr:colOff>
      <xdr:row>379</xdr:row>
      <xdr:rowOff>821466</xdr:rowOff>
    </xdr:to>
    <xdr:pic>
      <xdr:nvPicPr>
        <xdr:cNvPr id="1116" name="圖片 1115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3899297" y="401359687"/>
          <a:ext cx="514286" cy="523810"/>
        </a:xfrm>
        <a:prstGeom prst="rect">
          <a:avLst/>
        </a:prstGeom>
      </xdr:spPr>
    </xdr:pic>
    <xdr:clientData/>
  </xdr:twoCellAnchor>
  <xdr:twoCellAnchor>
    <xdr:from>
      <xdr:col>6</xdr:col>
      <xdr:colOff>446485</xdr:colOff>
      <xdr:row>376</xdr:row>
      <xdr:rowOff>208359</xdr:rowOff>
    </xdr:from>
    <xdr:to>
      <xdr:col>6</xdr:col>
      <xdr:colOff>1760771</xdr:colOff>
      <xdr:row>376</xdr:row>
      <xdr:rowOff>884549</xdr:rowOff>
    </xdr:to>
    <xdr:pic>
      <xdr:nvPicPr>
        <xdr:cNvPr id="474" name="圖片 473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10641212" y="401270390"/>
          <a:ext cx="1314286" cy="676190"/>
        </a:xfrm>
        <a:prstGeom prst="rect">
          <a:avLst/>
        </a:prstGeom>
      </xdr:spPr>
    </xdr:pic>
    <xdr:clientData/>
  </xdr:twoCellAnchor>
  <xdr:twoCellAnchor>
    <xdr:from>
      <xdr:col>6</xdr:col>
      <xdr:colOff>431601</xdr:colOff>
      <xdr:row>377</xdr:row>
      <xdr:rowOff>148828</xdr:rowOff>
    </xdr:from>
    <xdr:to>
      <xdr:col>6</xdr:col>
      <xdr:colOff>1764934</xdr:colOff>
      <xdr:row>377</xdr:row>
      <xdr:rowOff>815495</xdr:rowOff>
    </xdr:to>
    <xdr:pic>
      <xdr:nvPicPr>
        <xdr:cNvPr id="478" name="圖片 477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10626328" y="402208008"/>
          <a:ext cx="1333333" cy="666667"/>
        </a:xfrm>
        <a:prstGeom prst="rect">
          <a:avLst/>
        </a:prstGeom>
      </xdr:spPr>
    </xdr:pic>
    <xdr:clientData/>
  </xdr:twoCellAnchor>
  <xdr:twoCellAnchor>
    <xdr:from>
      <xdr:col>6</xdr:col>
      <xdr:colOff>476250</xdr:colOff>
      <xdr:row>378</xdr:row>
      <xdr:rowOff>208359</xdr:rowOff>
    </xdr:from>
    <xdr:to>
      <xdr:col>6</xdr:col>
      <xdr:colOff>1800060</xdr:colOff>
      <xdr:row>378</xdr:row>
      <xdr:rowOff>884549</xdr:rowOff>
    </xdr:to>
    <xdr:pic>
      <xdr:nvPicPr>
        <xdr:cNvPr id="479" name="圖片 478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10670977" y="403264687"/>
          <a:ext cx="1323810" cy="676190"/>
        </a:xfrm>
        <a:prstGeom prst="rect">
          <a:avLst/>
        </a:prstGeom>
      </xdr:spPr>
    </xdr:pic>
    <xdr:clientData/>
  </xdr:twoCellAnchor>
  <xdr:twoCellAnchor>
    <xdr:from>
      <xdr:col>6</xdr:col>
      <xdr:colOff>446484</xdr:colOff>
      <xdr:row>379</xdr:row>
      <xdr:rowOff>238125</xdr:rowOff>
    </xdr:from>
    <xdr:to>
      <xdr:col>6</xdr:col>
      <xdr:colOff>1722674</xdr:colOff>
      <xdr:row>379</xdr:row>
      <xdr:rowOff>876220</xdr:rowOff>
    </xdr:to>
    <xdr:pic>
      <xdr:nvPicPr>
        <xdr:cNvPr id="482" name="圖片 481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10641211" y="404291602"/>
          <a:ext cx="1276190" cy="638095"/>
        </a:xfrm>
        <a:prstGeom prst="rect">
          <a:avLst/>
        </a:prstGeom>
      </xdr:spPr>
    </xdr:pic>
    <xdr:clientData/>
  </xdr:twoCellAnchor>
  <xdr:twoCellAnchor>
    <xdr:from>
      <xdr:col>4</xdr:col>
      <xdr:colOff>372070</xdr:colOff>
      <xdr:row>371</xdr:row>
      <xdr:rowOff>342305</xdr:rowOff>
    </xdr:from>
    <xdr:to>
      <xdr:col>4</xdr:col>
      <xdr:colOff>876832</xdr:colOff>
      <xdr:row>371</xdr:row>
      <xdr:rowOff>837543</xdr:rowOff>
    </xdr:to>
    <xdr:pic>
      <xdr:nvPicPr>
        <xdr:cNvPr id="484" name="圖片 483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3914179" y="405392930"/>
          <a:ext cx="504762" cy="495238"/>
        </a:xfrm>
        <a:prstGeom prst="rect">
          <a:avLst/>
        </a:prstGeom>
      </xdr:spPr>
    </xdr:pic>
    <xdr:clientData/>
  </xdr:twoCellAnchor>
  <xdr:twoCellAnchor>
    <xdr:from>
      <xdr:col>4</xdr:col>
      <xdr:colOff>372070</xdr:colOff>
      <xdr:row>372</xdr:row>
      <xdr:rowOff>342305</xdr:rowOff>
    </xdr:from>
    <xdr:to>
      <xdr:col>4</xdr:col>
      <xdr:colOff>876832</xdr:colOff>
      <xdr:row>372</xdr:row>
      <xdr:rowOff>837543</xdr:rowOff>
    </xdr:to>
    <xdr:pic>
      <xdr:nvPicPr>
        <xdr:cNvPr id="1117" name="圖片 1116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3914179" y="405392930"/>
          <a:ext cx="504762" cy="495238"/>
        </a:xfrm>
        <a:prstGeom prst="rect">
          <a:avLst/>
        </a:prstGeom>
      </xdr:spPr>
    </xdr:pic>
    <xdr:clientData/>
  </xdr:twoCellAnchor>
  <xdr:twoCellAnchor>
    <xdr:from>
      <xdr:col>4</xdr:col>
      <xdr:colOff>372070</xdr:colOff>
      <xdr:row>373</xdr:row>
      <xdr:rowOff>342305</xdr:rowOff>
    </xdr:from>
    <xdr:to>
      <xdr:col>4</xdr:col>
      <xdr:colOff>876832</xdr:colOff>
      <xdr:row>373</xdr:row>
      <xdr:rowOff>837543</xdr:rowOff>
    </xdr:to>
    <xdr:pic>
      <xdr:nvPicPr>
        <xdr:cNvPr id="1118" name="圖片 1117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3914179" y="405392930"/>
          <a:ext cx="504762" cy="495238"/>
        </a:xfrm>
        <a:prstGeom prst="rect">
          <a:avLst/>
        </a:prstGeom>
      </xdr:spPr>
    </xdr:pic>
    <xdr:clientData/>
  </xdr:twoCellAnchor>
  <xdr:twoCellAnchor>
    <xdr:from>
      <xdr:col>4</xdr:col>
      <xdr:colOff>372070</xdr:colOff>
      <xdr:row>374</xdr:row>
      <xdr:rowOff>342305</xdr:rowOff>
    </xdr:from>
    <xdr:to>
      <xdr:col>4</xdr:col>
      <xdr:colOff>876832</xdr:colOff>
      <xdr:row>374</xdr:row>
      <xdr:rowOff>837543</xdr:rowOff>
    </xdr:to>
    <xdr:pic>
      <xdr:nvPicPr>
        <xdr:cNvPr id="1119" name="圖片 1118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3914179" y="405392930"/>
          <a:ext cx="504762" cy="495238"/>
        </a:xfrm>
        <a:prstGeom prst="rect">
          <a:avLst/>
        </a:prstGeom>
      </xdr:spPr>
    </xdr:pic>
    <xdr:clientData/>
  </xdr:twoCellAnchor>
  <xdr:twoCellAnchor>
    <xdr:from>
      <xdr:col>4</xdr:col>
      <xdr:colOff>372070</xdr:colOff>
      <xdr:row>375</xdr:row>
      <xdr:rowOff>342305</xdr:rowOff>
    </xdr:from>
    <xdr:to>
      <xdr:col>4</xdr:col>
      <xdr:colOff>876832</xdr:colOff>
      <xdr:row>375</xdr:row>
      <xdr:rowOff>837543</xdr:rowOff>
    </xdr:to>
    <xdr:pic>
      <xdr:nvPicPr>
        <xdr:cNvPr id="1120" name="圖片 1119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3914179" y="405392930"/>
          <a:ext cx="504762" cy="495238"/>
        </a:xfrm>
        <a:prstGeom prst="rect">
          <a:avLst/>
        </a:prstGeom>
      </xdr:spPr>
    </xdr:pic>
    <xdr:clientData/>
  </xdr:twoCellAnchor>
  <xdr:twoCellAnchor>
    <xdr:from>
      <xdr:col>6</xdr:col>
      <xdr:colOff>372071</xdr:colOff>
      <xdr:row>371</xdr:row>
      <xdr:rowOff>282774</xdr:rowOff>
    </xdr:from>
    <xdr:to>
      <xdr:col>6</xdr:col>
      <xdr:colOff>1714928</xdr:colOff>
      <xdr:row>371</xdr:row>
      <xdr:rowOff>949441</xdr:rowOff>
    </xdr:to>
    <xdr:pic>
      <xdr:nvPicPr>
        <xdr:cNvPr id="486" name="圖片 485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10566798" y="405333399"/>
          <a:ext cx="1342857" cy="666667"/>
        </a:xfrm>
        <a:prstGeom prst="rect">
          <a:avLst/>
        </a:prstGeom>
      </xdr:spPr>
    </xdr:pic>
    <xdr:clientData/>
  </xdr:twoCellAnchor>
  <xdr:twoCellAnchor>
    <xdr:from>
      <xdr:col>6</xdr:col>
      <xdr:colOff>520899</xdr:colOff>
      <xdr:row>372</xdr:row>
      <xdr:rowOff>253007</xdr:rowOff>
    </xdr:from>
    <xdr:to>
      <xdr:col>6</xdr:col>
      <xdr:colOff>1816137</xdr:colOff>
      <xdr:row>372</xdr:row>
      <xdr:rowOff>910150</xdr:rowOff>
    </xdr:to>
    <xdr:pic>
      <xdr:nvPicPr>
        <xdr:cNvPr id="624" name="圖片 623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10715626" y="406300780"/>
          <a:ext cx="1295238" cy="657143"/>
        </a:xfrm>
        <a:prstGeom prst="rect">
          <a:avLst/>
        </a:prstGeom>
      </xdr:spPr>
    </xdr:pic>
    <xdr:clientData/>
  </xdr:twoCellAnchor>
  <xdr:twoCellAnchor>
    <xdr:from>
      <xdr:col>6</xdr:col>
      <xdr:colOff>416719</xdr:colOff>
      <xdr:row>373</xdr:row>
      <xdr:rowOff>267891</xdr:rowOff>
    </xdr:from>
    <xdr:to>
      <xdr:col>6</xdr:col>
      <xdr:colOff>1721481</xdr:colOff>
      <xdr:row>373</xdr:row>
      <xdr:rowOff>877415</xdr:rowOff>
    </xdr:to>
    <xdr:pic>
      <xdr:nvPicPr>
        <xdr:cNvPr id="641" name="圖片 640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10611446" y="407312813"/>
          <a:ext cx="1304762" cy="609524"/>
        </a:xfrm>
        <a:prstGeom prst="rect">
          <a:avLst/>
        </a:prstGeom>
      </xdr:spPr>
    </xdr:pic>
    <xdr:clientData/>
  </xdr:twoCellAnchor>
  <xdr:twoCellAnchor>
    <xdr:from>
      <xdr:col>6</xdr:col>
      <xdr:colOff>446484</xdr:colOff>
      <xdr:row>374</xdr:row>
      <xdr:rowOff>238125</xdr:rowOff>
    </xdr:from>
    <xdr:to>
      <xdr:col>6</xdr:col>
      <xdr:colOff>1779817</xdr:colOff>
      <xdr:row>374</xdr:row>
      <xdr:rowOff>971458</xdr:rowOff>
    </xdr:to>
    <xdr:pic>
      <xdr:nvPicPr>
        <xdr:cNvPr id="663" name="圖片 662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10641211" y="408280195"/>
          <a:ext cx="1333333" cy="733333"/>
        </a:xfrm>
        <a:prstGeom prst="rect">
          <a:avLst/>
        </a:prstGeom>
      </xdr:spPr>
    </xdr:pic>
    <xdr:clientData/>
  </xdr:twoCellAnchor>
  <xdr:twoCellAnchor>
    <xdr:from>
      <xdr:col>6</xdr:col>
      <xdr:colOff>446485</xdr:colOff>
      <xdr:row>375</xdr:row>
      <xdr:rowOff>193476</xdr:rowOff>
    </xdr:from>
    <xdr:to>
      <xdr:col>6</xdr:col>
      <xdr:colOff>1856009</xdr:colOff>
      <xdr:row>375</xdr:row>
      <xdr:rowOff>860143</xdr:rowOff>
    </xdr:to>
    <xdr:pic>
      <xdr:nvPicPr>
        <xdr:cNvPr id="671" name="圖片 670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10641212" y="409232695"/>
          <a:ext cx="1409524" cy="666667"/>
        </a:xfrm>
        <a:prstGeom prst="rect">
          <a:avLst/>
        </a:prstGeom>
      </xdr:spPr>
    </xdr:pic>
    <xdr:clientData/>
  </xdr:twoCellAnchor>
  <xdr:twoCellAnchor>
    <xdr:from>
      <xdr:col>4</xdr:col>
      <xdr:colOff>282774</xdr:colOff>
      <xdr:row>255</xdr:row>
      <xdr:rowOff>208359</xdr:rowOff>
    </xdr:from>
    <xdr:to>
      <xdr:col>4</xdr:col>
      <xdr:colOff>854203</xdr:colOff>
      <xdr:row>255</xdr:row>
      <xdr:rowOff>798835</xdr:rowOff>
    </xdr:to>
    <xdr:pic>
      <xdr:nvPicPr>
        <xdr:cNvPr id="148" name="圖片 147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211837" y="417224765"/>
          <a:ext cx="571429" cy="590476"/>
        </a:xfrm>
        <a:prstGeom prst="rect">
          <a:avLst/>
        </a:prstGeom>
      </xdr:spPr>
    </xdr:pic>
    <xdr:clientData/>
  </xdr:twoCellAnchor>
  <xdr:twoCellAnchor>
    <xdr:from>
      <xdr:col>4</xdr:col>
      <xdr:colOff>327422</xdr:colOff>
      <xdr:row>252</xdr:row>
      <xdr:rowOff>238125</xdr:rowOff>
    </xdr:from>
    <xdr:to>
      <xdr:col>4</xdr:col>
      <xdr:colOff>952500</xdr:colOff>
      <xdr:row>252</xdr:row>
      <xdr:rowOff>863203</xdr:rowOff>
    </xdr:to>
    <xdr:pic>
      <xdr:nvPicPr>
        <xdr:cNvPr id="184" name="圖片 18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256485" y="418266563"/>
          <a:ext cx="625078" cy="625078"/>
        </a:xfrm>
        <a:prstGeom prst="rect">
          <a:avLst/>
        </a:prstGeom>
      </xdr:spPr>
    </xdr:pic>
    <xdr:clientData/>
  </xdr:twoCellAnchor>
  <xdr:twoCellAnchor>
    <xdr:from>
      <xdr:col>4</xdr:col>
      <xdr:colOff>327421</xdr:colOff>
      <xdr:row>279</xdr:row>
      <xdr:rowOff>208359</xdr:rowOff>
    </xdr:from>
    <xdr:to>
      <xdr:col>4</xdr:col>
      <xdr:colOff>1045452</xdr:colOff>
      <xdr:row>279</xdr:row>
      <xdr:rowOff>952499</xdr:rowOff>
    </xdr:to>
    <xdr:pic>
      <xdr:nvPicPr>
        <xdr:cNvPr id="201" name="圖片 200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256484" y="419248828"/>
          <a:ext cx="718031" cy="744140"/>
        </a:xfrm>
        <a:prstGeom prst="rect">
          <a:avLst/>
        </a:prstGeom>
      </xdr:spPr>
    </xdr:pic>
    <xdr:clientData/>
  </xdr:twoCellAnchor>
  <xdr:twoCellAnchor>
    <xdr:from>
      <xdr:col>4</xdr:col>
      <xdr:colOff>282773</xdr:colOff>
      <xdr:row>251</xdr:row>
      <xdr:rowOff>133946</xdr:rowOff>
    </xdr:from>
    <xdr:to>
      <xdr:col>4</xdr:col>
      <xdr:colOff>1098300</xdr:colOff>
      <xdr:row>251</xdr:row>
      <xdr:rowOff>922735</xdr:rowOff>
    </xdr:to>
    <xdr:pic>
      <xdr:nvPicPr>
        <xdr:cNvPr id="373" name="圖片 372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211836" y="420186446"/>
          <a:ext cx="815527" cy="788789"/>
        </a:xfrm>
        <a:prstGeom prst="rect">
          <a:avLst/>
        </a:prstGeom>
      </xdr:spPr>
    </xdr:pic>
    <xdr:clientData/>
  </xdr:twoCellAnchor>
  <xdr:twoCellAnchor>
    <xdr:from>
      <xdr:col>4</xdr:col>
      <xdr:colOff>297655</xdr:colOff>
      <xdr:row>254</xdr:row>
      <xdr:rowOff>133945</xdr:rowOff>
    </xdr:from>
    <xdr:to>
      <xdr:col>4</xdr:col>
      <xdr:colOff>1056678</xdr:colOff>
      <xdr:row>254</xdr:row>
      <xdr:rowOff>880526</xdr:rowOff>
    </xdr:to>
    <xdr:pic>
      <xdr:nvPicPr>
        <xdr:cNvPr id="454" name="圖片 453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226718" y="421198476"/>
          <a:ext cx="759023" cy="746581"/>
        </a:xfrm>
        <a:prstGeom prst="rect">
          <a:avLst/>
        </a:prstGeom>
      </xdr:spPr>
    </xdr:pic>
    <xdr:clientData/>
  </xdr:twoCellAnchor>
  <xdr:twoCellAnchor>
    <xdr:from>
      <xdr:col>4</xdr:col>
      <xdr:colOff>193475</xdr:colOff>
      <xdr:row>253</xdr:row>
      <xdr:rowOff>148827</xdr:rowOff>
    </xdr:from>
    <xdr:to>
      <xdr:col>4</xdr:col>
      <xdr:colOff>1090502</xdr:colOff>
      <xdr:row>253</xdr:row>
      <xdr:rowOff>907850</xdr:rowOff>
    </xdr:to>
    <xdr:pic>
      <xdr:nvPicPr>
        <xdr:cNvPr id="459" name="圖片 458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122538" y="422225390"/>
          <a:ext cx="897027" cy="759023"/>
        </a:xfrm>
        <a:prstGeom prst="rect">
          <a:avLst/>
        </a:prstGeom>
      </xdr:spPr>
    </xdr:pic>
    <xdr:clientData/>
  </xdr:twoCellAnchor>
  <xdr:twoCellAnchor>
    <xdr:from>
      <xdr:col>4</xdr:col>
      <xdr:colOff>282773</xdr:colOff>
      <xdr:row>307</xdr:row>
      <xdr:rowOff>119062</xdr:rowOff>
    </xdr:from>
    <xdr:to>
      <xdr:col>4</xdr:col>
      <xdr:colOff>1018085</xdr:colOff>
      <xdr:row>307</xdr:row>
      <xdr:rowOff>907851</xdr:rowOff>
    </xdr:to>
    <xdr:pic>
      <xdr:nvPicPr>
        <xdr:cNvPr id="461" name="圖片 460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211836" y="423207656"/>
          <a:ext cx="735312" cy="788789"/>
        </a:xfrm>
        <a:prstGeom prst="rect">
          <a:avLst/>
        </a:prstGeom>
      </xdr:spPr>
    </xdr:pic>
    <xdr:clientData/>
  </xdr:twoCellAnchor>
  <xdr:twoCellAnchor>
    <xdr:from>
      <xdr:col>4</xdr:col>
      <xdr:colOff>253008</xdr:colOff>
      <xdr:row>278</xdr:row>
      <xdr:rowOff>104180</xdr:rowOff>
    </xdr:from>
    <xdr:to>
      <xdr:col>4</xdr:col>
      <xdr:colOff>1058143</xdr:colOff>
      <xdr:row>278</xdr:row>
      <xdr:rowOff>848320</xdr:rowOff>
    </xdr:to>
    <xdr:pic>
      <xdr:nvPicPr>
        <xdr:cNvPr id="463" name="圖片 462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182071" y="424204805"/>
          <a:ext cx="805135" cy="744140"/>
        </a:xfrm>
        <a:prstGeom prst="rect">
          <a:avLst/>
        </a:prstGeom>
      </xdr:spPr>
    </xdr:pic>
    <xdr:clientData/>
  </xdr:twoCellAnchor>
  <xdr:twoCellAnchor>
    <xdr:from>
      <xdr:col>4</xdr:col>
      <xdr:colOff>282772</xdr:colOff>
      <xdr:row>280</xdr:row>
      <xdr:rowOff>89297</xdr:rowOff>
    </xdr:from>
    <xdr:to>
      <xdr:col>4</xdr:col>
      <xdr:colOff>1179349</xdr:colOff>
      <xdr:row>280</xdr:row>
      <xdr:rowOff>922735</xdr:rowOff>
    </xdr:to>
    <xdr:pic>
      <xdr:nvPicPr>
        <xdr:cNvPr id="470" name="圖片 469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211835" y="425201953"/>
          <a:ext cx="896577" cy="833438"/>
        </a:xfrm>
        <a:prstGeom prst="rect">
          <a:avLst/>
        </a:prstGeom>
      </xdr:spPr>
    </xdr:pic>
    <xdr:clientData/>
  </xdr:twoCellAnchor>
  <xdr:twoCellAnchor>
    <xdr:from>
      <xdr:col>4</xdr:col>
      <xdr:colOff>148828</xdr:colOff>
      <xdr:row>249</xdr:row>
      <xdr:rowOff>74413</xdr:rowOff>
    </xdr:from>
    <xdr:to>
      <xdr:col>4</xdr:col>
      <xdr:colOff>887687</xdr:colOff>
      <xdr:row>249</xdr:row>
      <xdr:rowOff>878084</xdr:rowOff>
    </xdr:to>
    <xdr:pic>
      <xdr:nvPicPr>
        <xdr:cNvPr id="477" name="圖片 476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077891" y="426199101"/>
          <a:ext cx="738859" cy="803671"/>
        </a:xfrm>
        <a:prstGeom prst="rect">
          <a:avLst/>
        </a:prstGeom>
      </xdr:spPr>
    </xdr:pic>
    <xdr:clientData/>
  </xdr:twoCellAnchor>
  <xdr:twoCellAnchor>
    <xdr:from>
      <xdr:col>4</xdr:col>
      <xdr:colOff>148828</xdr:colOff>
      <xdr:row>250</xdr:row>
      <xdr:rowOff>74413</xdr:rowOff>
    </xdr:from>
    <xdr:to>
      <xdr:col>4</xdr:col>
      <xdr:colOff>887687</xdr:colOff>
      <xdr:row>250</xdr:row>
      <xdr:rowOff>878084</xdr:rowOff>
    </xdr:to>
    <xdr:pic>
      <xdr:nvPicPr>
        <xdr:cNvPr id="1121" name="圖片 1120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077891" y="426199101"/>
          <a:ext cx="738859" cy="803671"/>
        </a:xfrm>
        <a:prstGeom prst="rect">
          <a:avLst/>
        </a:prstGeom>
      </xdr:spPr>
    </xdr:pic>
    <xdr:clientData/>
  </xdr:twoCellAnchor>
  <xdr:twoCellAnchor>
    <xdr:from>
      <xdr:col>4</xdr:col>
      <xdr:colOff>148828</xdr:colOff>
      <xdr:row>246</xdr:row>
      <xdr:rowOff>74413</xdr:rowOff>
    </xdr:from>
    <xdr:to>
      <xdr:col>4</xdr:col>
      <xdr:colOff>887687</xdr:colOff>
      <xdr:row>246</xdr:row>
      <xdr:rowOff>878084</xdr:rowOff>
    </xdr:to>
    <xdr:pic>
      <xdr:nvPicPr>
        <xdr:cNvPr id="1122" name="圖片 1121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077891" y="426199101"/>
          <a:ext cx="738859" cy="803671"/>
        </a:xfrm>
        <a:prstGeom prst="rect">
          <a:avLst/>
        </a:prstGeom>
      </xdr:spPr>
    </xdr:pic>
    <xdr:clientData/>
  </xdr:twoCellAnchor>
  <xdr:twoCellAnchor>
    <xdr:from>
      <xdr:col>4</xdr:col>
      <xdr:colOff>148828</xdr:colOff>
      <xdr:row>248</xdr:row>
      <xdr:rowOff>74413</xdr:rowOff>
    </xdr:from>
    <xdr:to>
      <xdr:col>4</xdr:col>
      <xdr:colOff>887687</xdr:colOff>
      <xdr:row>248</xdr:row>
      <xdr:rowOff>878084</xdr:rowOff>
    </xdr:to>
    <xdr:pic>
      <xdr:nvPicPr>
        <xdr:cNvPr id="1123" name="圖片 1122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077891" y="426199101"/>
          <a:ext cx="738859" cy="803671"/>
        </a:xfrm>
        <a:prstGeom prst="rect">
          <a:avLst/>
        </a:prstGeom>
      </xdr:spPr>
    </xdr:pic>
    <xdr:clientData/>
  </xdr:twoCellAnchor>
  <xdr:twoCellAnchor>
    <xdr:from>
      <xdr:col>4</xdr:col>
      <xdr:colOff>148828</xdr:colOff>
      <xdr:row>247</xdr:row>
      <xdr:rowOff>74413</xdr:rowOff>
    </xdr:from>
    <xdr:to>
      <xdr:col>4</xdr:col>
      <xdr:colOff>887687</xdr:colOff>
      <xdr:row>247</xdr:row>
      <xdr:rowOff>878084</xdr:rowOff>
    </xdr:to>
    <xdr:pic>
      <xdr:nvPicPr>
        <xdr:cNvPr id="1124" name="圖片 1123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077891" y="429235194"/>
          <a:ext cx="738859" cy="803671"/>
        </a:xfrm>
        <a:prstGeom prst="rect">
          <a:avLst/>
        </a:prstGeom>
      </xdr:spPr>
    </xdr:pic>
    <xdr:clientData/>
  </xdr:twoCellAnchor>
  <xdr:twoCellAnchor>
    <xdr:from>
      <xdr:col>6</xdr:col>
      <xdr:colOff>357188</xdr:colOff>
      <xdr:row>255</xdr:row>
      <xdr:rowOff>178594</xdr:rowOff>
    </xdr:from>
    <xdr:to>
      <xdr:col>6</xdr:col>
      <xdr:colOff>1741289</xdr:colOff>
      <xdr:row>255</xdr:row>
      <xdr:rowOff>897891</xdr:rowOff>
    </xdr:to>
    <xdr:pic>
      <xdr:nvPicPr>
        <xdr:cNvPr id="480" name="圖片 479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10938868" y="417195000"/>
          <a:ext cx="1384101" cy="719297"/>
        </a:xfrm>
        <a:prstGeom prst="rect">
          <a:avLst/>
        </a:prstGeom>
      </xdr:spPr>
    </xdr:pic>
    <xdr:clientData/>
  </xdr:twoCellAnchor>
  <xdr:twoCellAnchor>
    <xdr:from>
      <xdr:col>6</xdr:col>
      <xdr:colOff>282773</xdr:colOff>
      <xdr:row>252</xdr:row>
      <xdr:rowOff>119064</xdr:rowOff>
    </xdr:from>
    <xdr:to>
      <xdr:col>6</xdr:col>
      <xdr:colOff>1872580</xdr:colOff>
      <xdr:row>252</xdr:row>
      <xdr:rowOff>892970</xdr:rowOff>
    </xdr:to>
    <xdr:pic>
      <xdr:nvPicPr>
        <xdr:cNvPr id="494" name="圖片 493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10864453" y="418147502"/>
          <a:ext cx="1589807" cy="773906"/>
        </a:xfrm>
        <a:prstGeom prst="rect">
          <a:avLst/>
        </a:prstGeom>
      </xdr:spPr>
    </xdr:pic>
    <xdr:clientData/>
  </xdr:twoCellAnchor>
  <xdr:twoCellAnchor>
    <xdr:from>
      <xdr:col>6</xdr:col>
      <xdr:colOff>297657</xdr:colOff>
      <xdr:row>279</xdr:row>
      <xdr:rowOff>193477</xdr:rowOff>
    </xdr:from>
    <xdr:to>
      <xdr:col>6</xdr:col>
      <xdr:colOff>1771764</xdr:colOff>
      <xdr:row>279</xdr:row>
      <xdr:rowOff>907852</xdr:rowOff>
    </xdr:to>
    <xdr:pic>
      <xdr:nvPicPr>
        <xdr:cNvPr id="635" name="圖片 634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10879337" y="419233946"/>
          <a:ext cx="1474107" cy="714375"/>
        </a:xfrm>
        <a:prstGeom prst="rect">
          <a:avLst/>
        </a:prstGeom>
      </xdr:spPr>
    </xdr:pic>
    <xdr:clientData/>
  </xdr:twoCellAnchor>
  <xdr:twoCellAnchor>
    <xdr:from>
      <xdr:col>6</xdr:col>
      <xdr:colOff>297656</xdr:colOff>
      <xdr:row>251</xdr:row>
      <xdr:rowOff>178594</xdr:rowOff>
    </xdr:from>
    <xdr:to>
      <xdr:col>6</xdr:col>
      <xdr:colOff>1906535</xdr:colOff>
      <xdr:row>251</xdr:row>
      <xdr:rowOff>967383</xdr:rowOff>
    </xdr:to>
    <xdr:pic>
      <xdr:nvPicPr>
        <xdr:cNvPr id="669" name="圖片 668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10879336" y="420231094"/>
          <a:ext cx="1608879" cy="788789"/>
        </a:xfrm>
        <a:prstGeom prst="rect">
          <a:avLst/>
        </a:prstGeom>
      </xdr:spPr>
    </xdr:pic>
    <xdr:clientData/>
  </xdr:twoCellAnchor>
  <xdr:twoCellAnchor>
    <xdr:from>
      <xdr:col>6</xdr:col>
      <xdr:colOff>178593</xdr:colOff>
      <xdr:row>254</xdr:row>
      <xdr:rowOff>148829</xdr:rowOff>
    </xdr:from>
    <xdr:to>
      <xdr:col>6</xdr:col>
      <xdr:colOff>1871574</xdr:colOff>
      <xdr:row>254</xdr:row>
      <xdr:rowOff>952501</xdr:rowOff>
    </xdr:to>
    <xdr:pic>
      <xdr:nvPicPr>
        <xdr:cNvPr id="705" name="圖片 704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10760273" y="421213360"/>
          <a:ext cx="1692981" cy="803672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253</xdr:row>
      <xdr:rowOff>104180</xdr:rowOff>
    </xdr:from>
    <xdr:to>
      <xdr:col>6</xdr:col>
      <xdr:colOff>1919883</xdr:colOff>
      <xdr:row>253</xdr:row>
      <xdr:rowOff>949603</xdr:rowOff>
    </xdr:to>
    <xdr:pic>
      <xdr:nvPicPr>
        <xdr:cNvPr id="708" name="圖片 707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10700743" y="422180743"/>
          <a:ext cx="1800820" cy="845423"/>
        </a:xfrm>
        <a:prstGeom prst="rect">
          <a:avLst/>
        </a:prstGeom>
      </xdr:spPr>
    </xdr:pic>
    <xdr:clientData/>
  </xdr:twoCellAnchor>
  <xdr:twoCellAnchor>
    <xdr:from>
      <xdr:col>6</xdr:col>
      <xdr:colOff>148828</xdr:colOff>
      <xdr:row>307</xdr:row>
      <xdr:rowOff>44648</xdr:rowOff>
    </xdr:from>
    <xdr:to>
      <xdr:col>6</xdr:col>
      <xdr:colOff>1957437</xdr:colOff>
      <xdr:row>307</xdr:row>
      <xdr:rowOff>952499</xdr:rowOff>
    </xdr:to>
    <xdr:pic>
      <xdr:nvPicPr>
        <xdr:cNvPr id="710" name="圖片 709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10730508" y="423133242"/>
          <a:ext cx="1808609" cy="907851"/>
        </a:xfrm>
        <a:prstGeom prst="rect">
          <a:avLst/>
        </a:prstGeom>
      </xdr:spPr>
    </xdr:pic>
    <xdr:clientData/>
  </xdr:twoCellAnchor>
  <xdr:twoCellAnchor>
    <xdr:from>
      <xdr:col>6</xdr:col>
      <xdr:colOff>223243</xdr:colOff>
      <xdr:row>278</xdr:row>
      <xdr:rowOff>133945</xdr:rowOff>
    </xdr:from>
    <xdr:to>
      <xdr:col>6</xdr:col>
      <xdr:colOff>1901881</xdr:colOff>
      <xdr:row>278</xdr:row>
      <xdr:rowOff>937617</xdr:rowOff>
    </xdr:to>
    <xdr:pic>
      <xdr:nvPicPr>
        <xdr:cNvPr id="731" name="圖片 730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10804923" y="424234570"/>
          <a:ext cx="1678638" cy="803672"/>
        </a:xfrm>
        <a:prstGeom prst="rect">
          <a:avLst/>
        </a:prstGeom>
      </xdr:spPr>
    </xdr:pic>
    <xdr:clientData/>
  </xdr:twoCellAnchor>
  <xdr:twoCellAnchor>
    <xdr:from>
      <xdr:col>6</xdr:col>
      <xdr:colOff>193477</xdr:colOff>
      <xdr:row>280</xdr:row>
      <xdr:rowOff>59531</xdr:rowOff>
    </xdr:from>
    <xdr:to>
      <xdr:col>6</xdr:col>
      <xdr:colOff>1876426</xdr:colOff>
      <xdr:row>280</xdr:row>
      <xdr:rowOff>878086</xdr:rowOff>
    </xdr:to>
    <xdr:pic>
      <xdr:nvPicPr>
        <xdr:cNvPr id="733" name="圖片 732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10775157" y="425172187"/>
          <a:ext cx="1682949" cy="818555"/>
        </a:xfrm>
        <a:prstGeom prst="rect">
          <a:avLst/>
        </a:prstGeom>
      </xdr:spPr>
    </xdr:pic>
    <xdr:clientData/>
  </xdr:twoCellAnchor>
  <xdr:twoCellAnchor>
    <xdr:from>
      <xdr:col>6</xdr:col>
      <xdr:colOff>223243</xdr:colOff>
      <xdr:row>249</xdr:row>
      <xdr:rowOff>133945</xdr:rowOff>
    </xdr:from>
    <xdr:to>
      <xdr:col>6</xdr:col>
      <xdr:colOff>1922929</xdr:colOff>
      <xdr:row>249</xdr:row>
      <xdr:rowOff>967382</xdr:rowOff>
    </xdr:to>
    <xdr:pic>
      <xdr:nvPicPr>
        <xdr:cNvPr id="735" name="圖片 734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10804923" y="426258633"/>
          <a:ext cx="1699686" cy="833437"/>
        </a:xfrm>
        <a:prstGeom prst="rect">
          <a:avLst/>
        </a:prstGeom>
      </xdr:spPr>
    </xdr:pic>
    <xdr:clientData/>
  </xdr:twoCellAnchor>
  <xdr:twoCellAnchor>
    <xdr:from>
      <xdr:col>6</xdr:col>
      <xdr:colOff>163711</xdr:colOff>
      <xdr:row>250</xdr:row>
      <xdr:rowOff>119062</xdr:rowOff>
    </xdr:from>
    <xdr:to>
      <xdr:col>6</xdr:col>
      <xdr:colOff>1857256</xdr:colOff>
      <xdr:row>250</xdr:row>
      <xdr:rowOff>952499</xdr:rowOff>
    </xdr:to>
    <xdr:pic>
      <xdr:nvPicPr>
        <xdr:cNvPr id="750" name="圖片 749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10745391" y="427255781"/>
          <a:ext cx="1693545" cy="833437"/>
        </a:xfrm>
        <a:prstGeom prst="rect">
          <a:avLst/>
        </a:prstGeom>
      </xdr:spPr>
    </xdr:pic>
    <xdr:clientData/>
  </xdr:twoCellAnchor>
  <xdr:twoCellAnchor>
    <xdr:from>
      <xdr:col>6</xdr:col>
      <xdr:colOff>133945</xdr:colOff>
      <xdr:row>246</xdr:row>
      <xdr:rowOff>74414</xdr:rowOff>
    </xdr:from>
    <xdr:to>
      <xdr:col>6</xdr:col>
      <xdr:colOff>1915596</xdr:colOff>
      <xdr:row>246</xdr:row>
      <xdr:rowOff>937617</xdr:rowOff>
    </xdr:to>
    <xdr:pic>
      <xdr:nvPicPr>
        <xdr:cNvPr id="759" name="圖片 758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10715625" y="428223164"/>
          <a:ext cx="1781651" cy="863203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248</xdr:row>
      <xdr:rowOff>119064</xdr:rowOff>
    </xdr:from>
    <xdr:to>
      <xdr:col>6</xdr:col>
      <xdr:colOff>1961604</xdr:colOff>
      <xdr:row>248</xdr:row>
      <xdr:rowOff>997150</xdr:rowOff>
    </xdr:to>
    <xdr:pic>
      <xdr:nvPicPr>
        <xdr:cNvPr id="826" name="圖片 825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10700743" y="429279845"/>
          <a:ext cx="1842541" cy="878086"/>
        </a:xfrm>
        <a:prstGeom prst="rect">
          <a:avLst/>
        </a:prstGeom>
      </xdr:spPr>
    </xdr:pic>
    <xdr:clientData/>
  </xdr:twoCellAnchor>
  <xdr:twoCellAnchor>
    <xdr:from>
      <xdr:col>6</xdr:col>
      <xdr:colOff>133945</xdr:colOff>
      <xdr:row>247</xdr:row>
      <xdr:rowOff>104180</xdr:rowOff>
    </xdr:from>
    <xdr:to>
      <xdr:col>6</xdr:col>
      <xdr:colOff>1874754</xdr:colOff>
      <xdr:row>247</xdr:row>
      <xdr:rowOff>937617</xdr:rowOff>
    </xdr:to>
    <xdr:pic>
      <xdr:nvPicPr>
        <xdr:cNvPr id="835" name="圖片 834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10715625" y="430276993"/>
          <a:ext cx="1740809" cy="833437"/>
        </a:xfrm>
        <a:prstGeom prst="rect">
          <a:avLst/>
        </a:prstGeom>
      </xdr:spPr>
    </xdr:pic>
    <xdr:clientData/>
  </xdr:twoCellAnchor>
  <xdr:twoCellAnchor>
    <xdr:from>
      <xdr:col>6</xdr:col>
      <xdr:colOff>202047</xdr:colOff>
      <xdr:row>258</xdr:row>
      <xdr:rowOff>115455</xdr:rowOff>
    </xdr:from>
    <xdr:to>
      <xdr:col>6</xdr:col>
      <xdr:colOff>1817705</xdr:colOff>
      <xdr:row>258</xdr:row>
      <xdr:rowOff>894773</xdr:rowOff>
    </xdr:to>
    <xdr:pic>
      <xdr:nvPicPr>
        <xdr:cNvPr id="150" name="圖片 149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10780570" y="431121705"/>
          <a:ext cx="1615658" cy="779318"/>
        </a:xfrm>
        <a:prstGeom prst="rect">
          <a:avLst/>
        </a:prstGeom>
      </xdr:spPr>
    </xdr:pic>
    <xdr:clientData/>
  </xdr:twoCellAnchor>
  <xdr:twoCellAnchor>
    <xdr:from>
      <xdr:col>4</xdr:col>
      <xdr:colOff>187613</xdr:colOff>
      <xdr:row>386</xdr:row>
      <xdr:rowOff>216477</xdr:rowOff>
    </xdr:from>
    <xdr:to>
      <xdr:col>4</xdr:col>
      <xdr:colOff>778089</xdr:colOff>
      <xdr:row>386</xdr:row>
      <xdr:rowOff>806953</xdr:rowOff>
    </xdr:to>
    <xdr:pic>
      <xdr:nvPicPr>
        <xdr:cNvPr id="1125" name="圖片 1124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113068" y="431222727"/>
          <a:ext cx="590476" cy="590476"/>
        </a:xfrm>
        <a:prstGeom prst="rect">
          <a:avLst/>
        </a:prstGeom>
      </xdr:spPr>
    </xdr:pic>
    <xdr:clientData/>
  </xdr:twoCellAnchor>
  <xdr:twoCellAnchor>
    <xdr:from>
      <xdr:col>6</xdr:col>
      <xdr:colOff>173182</xdr:colOff>
      <xdr:row>386</xdr:row>
      <xdr:rowOff>129886</xdr:rowOff>
    </xdr:from>
    <xdr:to>
      <xdr:col>6</xdr:col>
      <xdr:colOff>1791932</xdr:colOff>
      <xdr:row>386</xdr:row>
      <xdr:rowOff>880341</xdr:rowOff>
    </xdr:to>
    <xdr:pic>
      <xdr:nvPicPr>
        <xdr:cNvPr id="457" name="圖片 456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10751705" y="432160795"/>
          <a:ext cx="1618750" cy="750455"/>
        </a:xfrm>
        <a:prstGeom prst="rect">
          <a:avLst/>
        </a:prstGeom>
      </xdr:spPr>
    </xdr:pic>
    <xdr:clientData/>
  </xdr:twoCellAnchor>
  <xdr:twoCellAnchor>
    <xdr:from>
      <xdr:col>4</xdr:col>
      <xdr:colOff>303068</xdr:colOff>
      <xdr:row>412</xdr:row>
      <xdr:rowOff>101023</xdr:rowOff>
    </xdr:from>
    <xdr:to>
      <xdr:col>4</xdr:col>
      <xdr:colOff>822614</xdr:colOff>
      <xdr:row>412</xdr:row>
      <xdr:rowOff>937365</xdr:rowOff>
    </xdr:to>
    <xdr:pic>
      <xdr:nvPicPr>
        <xdr:cNvPr id="485" name="圖片 484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228523" y="434181250"/>
          <a:ext cx="519546" cy="836342"/>
        </a:xfrm>
        <a:prstGeom prst="rect">
          <a:avLst/>
        </a:prstGeom>
      </xdr:spPr>
    </xdr:pic>
    <xdr:clientData/>
  </xdr:twoCellAnchor>
  <xdr:twoCellAnchor>
    <xdr:from>
      <xdr:col>4</xdr:col>
      <xdr:colOff>230909</xdr:colOff>
      <xdr:row>392</xdr:row>
      <xdr:rowOff>230909</xdr:rowOff>
    </xdr:from>
    <xdr:to>
      <xdr:col>4</xdr:col>
      <xdr:colOff>830909</xdr:colOff>
      <xdr:row>392</xdr:row>
      <xdr:rowOff>764242</xdr:rowOff>
    </xdr:to>
    <xdr:pic>
      <xdr:nvPicPr>
        <xdr:cNvPr id="704" name="圖片 703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156364" y="435335795"/>
          <a:ext cx="600000" cy="533333"/>
        </a:xfrm>
        <a:prstGeom prst="rect">
          <a:avLst/>
        </a:prstGeom>
      </xdr:spPr>
    </xdr:pic>
    <xdr:clientData/>
  </xdr:twoCellAnchor>
  <xdr:twoCellAnchor>
    <xdr:from>
      <xdr:col>4</xdr:col>
      <xdr:colOff>418523</xdr:colOff>
      <xdr:row>411</xdr:row>
      <xdr:rowOff>158750</xdr:rowOff>
    </xdr:from>
    <xdr:to>
      <xdr:col>4</xdr:col>
      <xdr:colOff>874244</xdr:colOff>
      <xdr:row>411</xdr:row>
      <xdr:rowOff>1010228</xdr:rowOff>
    </xdr:to>
    <xdr:pic>
      <xdr:nvPicPr>
        <xdr:cNvPr id="709" name="圖片 708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343978" y="436288295"/>
          <a:ext cx="455721" cy="851478"/>
        </a:xfrm>
        <a:prstGeom prst="rect">
          <a:avLst/>
        </a:prstGeom>
      </xdr:spPr>
    </xdr:pic>
    <xdr:clientData/>
  </xdr:twoCellAnchor>
  <xdr:twoCellAnchor>
    <xdr:from>
      <xdr:col>4</xdr:col>
      <xdr:colOff>288636</xdr:colOff>
      <xdr:row>391</xdr:row>
      <xdr:rowOff>259773</xdr:rowOff>
    </xdr:from>
    <xdr:to>
      <xdr:col>4</xdr:col>
      <xdr:colOff>841017</xdr:colOff>
      <xdr:row>391</xdr:row>
      <xdr:rowOff>831202</xdr:rowOff>
    </xdr:to>
    <xdr:pic>
      <xdr:nvPicPr>
        <xdr:cNvPr id="732" name="圖片 731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214091" y="437413978"/>
          <a:ext cx="552381" cy="571429"/>
        </a:xfrm>
        <a:prstGeom prst="rect">
          <a:avLst/>
        </a:prstGeom>
      </xdr:spPr>
    </xdr:pic>
    <xdr:clientData/>
  </xdr:twoCellAnchor>
  <xdr:twoCellAnchor>
    <xdr:from>
      <xdr:col>4</xdr:col>
      <xdr:colOff>288636</xdr:colOff>
      <xdr:row>390</xdr:row>
      <xdr:rowOff>259773</xdr:rowOff>
    </xdr:from>
    <xdr:to>
      <xdr:col>4</xdr:col>
      <xdr:colOff>841017</xdr:colOff>
      <xdr:row>390</xdr:row>
      <xdr:rowOff>831202</xdr:rowOff>
    </xdr:to>
    <xdr:pic>
      <xdr:nvPicPr>
        <xdr:cNvPr id="1126" name="圖片 1125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214091" y="437413978"/>
          <a:ext cx="552381" cy="571429"/>
        </a:xfrm>
        <a:prstGeom prst="rect">
          <a:avLst/>
        </a:prstGeom>
      </xdr:spPr>
    </xdr:pic>
    <xdr:clientData/>
  </xdr:twoCellAnchor>
  <xdr:twoCellAnchor>
    <xdr:from>
      <xdr:col>4</xdr:col>
      <xdr:colOff>288636</xdr:colOff>
      <xdr:row>389</xdr:row>
      <xdr:rowOff>259773</xdr:rowOff>
    </xdr:from>
    <xdr:to>
      <xdr:col>4</xdr:col>
      <xdr:colOff>841017</xdr:colOff>
      <xdr:row>389</xdr:row>
      <xdr:rowOff>831202</xdr:rowOff>
    </xdr:to>
    <xdr:pic>
      <xdr:nvPicPr>
        <xdr:cNvPr id="1127" name="圖片 1126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214091" y="438438637"/>
          <a:ext cx="552381" cy="571429"/>
        </a:xfrm>
        <a:prstGeom prst="rect">
          <a:avLst/>
        </a:prstGeom>
      </xdr:spPr>
    </xdr:pic>
    <xdr:clientData/>
  </xdr:twoCellAnchor>
  <xdr:twoCellAnchor>
    <xdr:from>
      <xdr:col>4</xdr:col>
      <xdr:colOff>245340</xdr:colOff>
      <xdr:row>356</xdr:row>
      <xdr:rowOff>230909</xdr:rowOff>
    </xdr:from>
    <xdr:to>
      <xdr:col>4</xdr:col>
      <xdr:colOff>880339</xdr:colOff>
      <xdr:row>356</xdr:row>
      <xdr:rowOff>831271</xdr:rowOff>
    </xdr:to>
    <xdr:pic>
      <xdr:nvPicPr>
        <xdr:cNvPr id="734" name="圖片 73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170795" y="440459091"/>
          <a:ext cx="634999" cy="600362"/>
        </a:xfrm>
        <a:prstGeom prst="rect">
          <a:avLst/>
        </a:prstGeom>
      </xdr:spPr>
    </xdr:pic>
    <xdr:clientData/>
  </xdr:twoCellAnchor>
  <xdr:twoCellAnchor>
    <xdr:from>
      <xdr:col>4</xdr:col>
      <xdr:colOff>245340</xdr:colOff>
      <xdr:row>357</xdr:row>
      <xdr:rowOff>230909</xdr:rowOff>
    </xdr:from>
    <xdr:to>
      <xdr:col>4</xdr:col>
      <xdr:colOff>880339</xdr:colOff>
      <xdr:row>357</xdr:row>
      <xdr:rowOff>831271</xdr:rowOff>
    </xdr:to>
    <xdr:pic>
      <xdr:nvPicPr>
        <xdr:cNvPr id="1133" name="圖片 1132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170795" y="440459091"/>
          <a:ext cx="634999" cy="600362"/>
        </a:xfrm>
        <a:prstGeom prst="rect">
          <a:avLst/>
        </a:prstGeom>
      </xdr:spPr>
    </xdr:pic>
    <xdr:clientData/>
  </xdr:twoCellAnchor>
  <xdr:twoCellAnchor>
    <xdr:from>
      <xdr:col>4</xdr:col>
      <xdr:colOff>245340</xdr:colOff>
      <xdr:row>358</xdr:row>
      <xdr:rowOff>230909</xdr:rowOff>
    </xdr:from>
    <xdr:to>
      <xdr:col>4</xdr:col>
      <xdr:colOff>880339</xdr:colOff>
      <xdr:row>358</xdr:row>
      <xdr:rowOff>831271</xdr:rowOff>
    </xdr:to>
    <xdr:pic>
      <xdr:nvPicPr>
        <xdr:cNvPr id="1134" name="圖片 113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170795" y="440459091"/>
          <a:ext cx="634999" cy="600362"/>
        </a:xfrm>
        <a:prstGeom prst="rect">
          <a:avLst/>
        </a:prstGeom>
      </xdr:spPr>
    </xdr:pic>
    <xdr:clientData/>
  </xdr:twoCellAnchor>
  <xdr:twoCellAnchor>
    <xdr:from>
      <xdr:col>4</xdr:col>
      <xdr:colOff>245340</xdr:colOff>
      <xdr:row>359</xdr:row>
      <xdr:rowOff>230909</xdr:rowOff>
    </xdr:from>
    <xdr:to>
      <xdr:col>4</xdr:col>
      <xdr:colOff>880339</xdr:colOff>
      <xdr:row>359</xdr:row>
      <xdr:rowOff>831271</xdr:rowOff>
    </xdr:to>
    <xdr:pic>
      <xdr:nvPicPr>
        <xdr:cNvPr id="1135" name="圖片 1134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170795" y="440459091"/>
          <a:ext cx="634999" cy="600362"/>
        </a:xfrm>
        <a:prstGeom prst="rect">
          <a:avLst/>
        </a:prstGeom>
      </xdr:spPr>
    </xdr:pic>
    <xdr:clientData/>
  </xdr:twoCellAnchor>
  <xdr:twoCellAnchor>
    <xdr:from>
      <xdr:col>4</xdr:col>
      <xdr:colOff>245340</xdr:colOff>
      <xdr:row>360</xdr:row>
      <xdr:rowOff>230909</xdr:rowOff>
    </xdr:from>
    <xdr:to>
      <xdr:col>4</xdr:col>
      <xdr:colOff>880339</xdr:colOff>
      <xdr:row>360</xdr:row>
      <xdr:rowOff>831271</xdr:rowOff>
    </xdr:to>
    <xdr:pic>
      <xdr:nvPicPr>
        <xdr:cNvPr id="1136" name="圖片 1135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170795" y="440459091"/>
          <a:ext cx="634999" cy="600362"/>
        </a:xfrm>
        <a:prstGeom prst="rect">
          <a:avLst/>
        </a:prstGeom>
      </xdr:spPr>
    </xdr:pic>
    <xdr:clientData/>
  </xdr:twoCellAnchor>
  <xdr:twoCellAnchor>
    <xdr:from>
      <xdr:col>4</xdr:col>
      <xdr:colOff>245340</xdr:colOff>
      <xdr:row>361</xdr:row>
      <xdr:rowOff>230909</xdr:rowOff>
    </xdr:from>
    <xdr:to>
      <xdr:col>4</xdr:col>
      <xdr:colOff>880339</xdr:colOff>
      <xdr:row>361</xdr:row>
      <xdr:rowOff>831271</xdr:rowOff>
    </xdr:to>
    <xdr:pic>
      <xdr:nvPicPr>
        <xdr:cNvPr id="1137" name="圖片 1136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170795" y="440459091"/>
          <a:ext cx="634999" cy="600362"/>
        </a:xfrm>
        <a:prstGeom prst="rect">
          <a:avLst/>
        </a:prstGeom>
      </xdr:spPr>
    </xdr:pic>
    <xdr:clientData/>
  </xdr:twoCellAnchor>
  <xdr:twoCellAnchor>
    <xdr:from>
      <xdr:col>4</xdr:col>
      <xdr:colOff>303068</xdr:colOff>
      <xdr:row>388</xdr:row>
      <xdr:rowOff>245341</xdr:rowOff>
    </xdr:from>
    <xdr:to>
      <xdr:col>4</xdr:col>
      <xdr:colOff>931639</xdr:colOff>
      <xdr:row>388</xdr:row>
      <xdr:rowOff>778674</xdr:rowOff>
    </xdr:to>
    <xdr:pic>
      <xdr:nvPicPr>
        <xdr:cNvPr id="763" name="圖片 762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228523" y="447646136"/>
          <a:ext cx="628571" cy="533333"/>
        </a:xfrm>
        <a:prstGeom prst="rect">
          <a:avLst/>
        </a:prstGeom>
      </xdr:spPr>
    </xdr:pic>
    <xdr:clientData/>
  </xdr:twoCellAnchor>
  <xdr:twoCellAnchor>
    <xdr:from>
      <xdr:col>4</xdr:col>
      <xdr:colOff>303068</xdr:colOff>
      <xdr:row>380</xdr:row>
      <xdr:rowOff>245341</xdr:rowOff>
    </xdr:from>
    <xdr:to>
      <xdr:col>4</xdr:col>
      <xdr:colOff>931639</xdr:colOff>
      <xdr:row>380</xdr:row>
      <xdr:rowOff>778674</xdr:rowOff>
    </xdr:to>
    <xdr:pic>
      <xdr:nvPicPr>
        <xdr:cNvPr id="1138" name="圖片 1137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228523" y="447646136"/>
          <a:ext cx="628571" cy="533333"/>
        </a:xfrm>
        <a:prstGeom prst="rect">
          <a:avLst/>
        </a:prstGeom>
      </xdr:spPr>
    </xdr:pic>
    <xdr:clientData/>
  </xdr:twoCellAnchor>
  <xdr:twoCellAnchor>
    <xdr:from>
      <xdr:col>4</xdr:col>
      <xdr:colOff>303068</xdr:colOff>
      <xdr:row>383</xdr:row>
      <xdr:rowOff>245341</xdr:rowOff>
    </xdr:from>
    <xdr:to>
      <xdr:col>4</xdr:col>
      <xdr:colOff>931639</xdr:colOff>
      <xdr:row>383</xdr:row>
      <xdr:rowOff>778674</xdr:rowOff>
    </xdr:to>
    <xdr:pic>
      <xdr:nvPicPr>
        <xdr:cNvPr id="1139" name="圖片 1138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228523" y="448670796"/>
          <a:ext cx="628571" cy="533333"/>
        </a:xfrm>
        <a:prstGeom prst="rect">
          <a:avLst/>
        </a:prstGeom>
      </xdr:spPr>
    </xdr:pic>
    <xdr:clientData/>
  </xdr:twoCellAnchor>
  <xdr:twoCellAnchor>
    <xdr:from>
      <xdr:col>4</xdr:col>
      <xdr:colOff>360796</xdr:colOff>
      <xdr:row>281</xdr:row>
      <xdr:rowOff>173182</xdr:rowOff>
    </xdr:from>
    <xdr:to>
      <xdr:col>4</xdr:col>
      <xdr:colOff>1017939</xdr:colOff>
      <xdr:row>281</xdr:row>
      <xdr:rowOff>830325</xdr:rowOff>
    </xdr:to>
    <xdr:pic>
      <xdr:nvPicPr>
        <xdr:cNvPr id="867" name="圖片 866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286251" y="450647955"/>
          <a:ext cx="657143" cy="657143"/>
        </a:xfrm>
        <a:prstGeom prst="rect">
          <a:avLst/>
        </a:prstGeom>
      </xdr:spPr>
    </xdr:pic>
    <xdr:clientData/>
  </xdr:twoCellAnchor>
  <xdr:twoCellAnchor>
    <xdr:from>
      <xdr:col>4</xdr:col>
      <xdr:colOff>346363</xdr:colOff>
      <xdr:row>267</xdr:row>
      <xdr:rowOff>216478</xdr:rowOff>
    </xdr:from>
    <xdr:to>
      <xdr:col>4</xdr:col>
      <xdr:colOff>793982</xdr:colOff>
      <xdr:row>267</xdr:row>
      <xdr:rowOff>816478</xdr:rowOff>
    </xdr:to>
    <xdr:pic>
      <xdr:nvPicPr>
        <xdr:cNvPr id="880" name="圖片 879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271818" y="451715910"/>
          <a:ext cx="447619" cy="600000"/>
        </a:xfrm>
        <a:prstGeom prst="rect">
          <a:avLst/>
        </a:prstGeom>
      </xdr:spPr>
    </xdr:pic>
    <xdr:clientData/>
  </xdr:twoCellAnchor>
  <xdr:twoCellAnchor>
    <xdr:from>
      <xdr:col>4</xdr:col>
      <xdr:colOff>245341</xdr:colOff>
      <xdr:row>381</xdr:row>
      <xdr:rowOff>230909</xdr:rowOff>
    </xdr:from>
    <xdr:to>
      <xdr:col>4</xdr:col>
      <xdr:colOff>845341</xdr:colOff>
      <xdr:row>381</xdr:row>
      <xdr:rowOff>735671</xdr:rowOff>
    </xdr:to>
    <xdr:pic>
      <xdr:nvPicPr>
        <xdr:cNvPr id="884" name="圖片 883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170796" y="452755000"/>
          <a:ext cx="600000" cy="504762"/>
        </a:xfrm>
        <a:prstGeom prst="rect">
          <a:avLst/>
        </a:prstGeom>
      </xdr:spPr>
    </xdr:pic>
    <xdr:clientData/>
  </xdr:twoCellAnchor>
  <xdr:twoCellAnchor>
    <xdr:from>
      <xdr:col>4</xdr:col>
      <xdr:colOff>389659</xdr:colOff>
      <xdr:row>296</xdr:row>
      <xdr:rowOff>202045</xdr:rowOff>
    </xdr:from>
    <xdr:to>
      <xdr:col>4</xdr:col>
      <xdr:colOff>837278</xdr:colOff>
      <xdr:row>296</xdr:row>
      <xdr:rowOff>840140</xdr:rowOff>
    </xdr:to>
    <xdr:pic>
      <xdr:nvPicPr>
        <xdr:cNvPr id="904" name="圖片 903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315114" y="453750795"/>
          <a:ext cx="447619" cy="638095"/>
        </a:xfrm>
        <a:prstGeom prst="rect">
          <a:avLst/>
        </a:prstGeom>
      </xdr:spPr>
    </xdr:pic>
    <xdr:clientData/>
  </xdr:twoCellAnchor>
  <xdr:twoCellAnchor>
    <xdr:from>
      <xdr:col>4</xdr:col>
      <xdr:colOff>245341</xdr:colOff>
      <xdr:row>382</xdr:row>
      <xdr:rowOff>230909</xdr:rowOff>
    </xdr:from>
    <xdr:to>
      <xdr:col>4</xdr:col>
      <xdr:colOff>845341</xdr:colOff>
      <xdr:row>382</xdr:row>
      <xdr:rowOff>735671</xdr:rowOff>
    </xdr:to>
    <xdr:pic>
      <xdr:nvPicPr>
        <xdr:cNvPr id="1140" name="圖片 1139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170796" y="452755000"/>
          <a:ext cx="600000" cy="504762"/>
        </a:xfrm>
        <a:prstGeom prst="rect">
          <a:avLst/>
        </a:prstGeom>
      </xdr:spPr>
    </xdr:pic>
    <xdr:clientData/>
  </xdr:twoCellAnchor>
  <xdr:twoCellAnchor>
    <xdr:from>
      <xdr:col>4</xdr:col>
      <xdr:colOff>375228</xdr:colOff>
      <xdr:row>282</xdr:row>
      <xdr:rowOff>158750</xdr:rowOff>
    </xdr:from>
    <xdr:to>
      <xdr:col>4</xdr:col>
      <xdr:colOff>860942</xdr:colOff>
      <xdr:row>282</xdr:row>
      <xdr:rowOff>787321</xdr:rowOff>
    </xdr:to>
    <xdr:pic>
      <xdr:nvPicPr>
        <xdr:cNvPr id="1031" name="圖片 1030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300683" y="455756818"/>
          <a:ext cx="485714" cy="628571"/>
        </a:xfrm>
        <a:prstGeom prst="rect">
          <a:avLst/>
        </a:prstGeom>
      </xdr:spPr>
    </xdr:pic>
    <xdr:clientData/>
  </xdr:twoCellAnchor>
  <xdr:twoCellAnchor>
    <xdr:from>
      <xdr:col>4</xdr:col>
      <xdr:colOff>245341</xdr:colOff>
      <xdr:row>384</xdr:row>
      <xdr:rowOff>230909</xdr:rowOff>
    </xdr:from>
    <xdr:to>
      <xdr:col>4</xdr:col>
      <xdr:colOff>845341</xdr:colOff>
      <xdr:row>384</xdr:row>
      <xdr:rowOff>735671</xdr:rowOff>
    </xdr:to>
    <xdr:pic>
      <xdr:nvPicPr>
        <xdr:cNvPr id="1142" name="圖片 1141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170796" y="452755000"/>
          <a:ext cx="600000" cy="504762"/>
        </a:xfrm>
        <a:prstGeom prst="rect">
          <a:avLst/>
        </a:prstGeom>
      </xdr:spPr>
    </xdr:pic>
    <xdr:clientData/>
  </xdr:twoCellAnchor>
  <xdr:twoCellAnchor>
    <xdr:from>
      <xdr:col>4</xdr:col>
      <xdr:colOff>245341</xdr:colOff>
      <xdr:row>387</xdr:row>
      <xdr:rowOff>230909</xdr:rowOff>
    </xdr:from>
    <xdr:to>
      <xdr:col>4</xdr:col>
      <xdr:colOff>845341</xdr:colOff>
      <xdr:row>387</xdr:row>
      <xdr:rowOff>735671</xdr:rowOff>
    </xdr:to>
    <xdr:pic>
      <xdr:nvPicPr>
        <xdr:cNvPr id="1143" name="圖片 1142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170796" y="456853636"/>
          <a:ext cx="600000" cy="504762"/>
        </a:xfrm>
        <a:prstGeom prst="rect">
          <a:avLst/>
        </a:prstGeom>
      </xdr:spPr>
    </xdr:pic>
    <xdr:clientData/>
  </xdr:twoCellAnchor>
  <xdr:twoCellAnchor>
    <xdr:from>
      <xdr:col>4</xdr:col>
      <xdr:colOff>245340</xdr:colOff>
      <xdr:row>362</xdr:row>
      <xdr:rowOff>230909</xdr:rowOff>
    </xdr:from>
    <xdr:to>
      <xdr:col>4</xdr:col>
      <xdr:colOff>880339</xdr:colOff>
      <xdr:row>362</xdr:row>
      <xdr:rowOff>831271</xdr:rowOff>
    </xdr:to>
    <xdr:pic>
      <xdr:nvPicPr>
        <xdr:cNvPr id="1145" name="圖片 1144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170795" y="445582386"/>
          <a:ext cx="634999" cy="600362"/>
        </a:xfrm>
        <a:prstGeom prst="rect">
          <a:avLst/>
        </a:prstGeom>
      </xdr:spPr>
    </xdr:pic>
    <xdr:clientData/>
  </xdr:twoCellAnchor>
  <xdr:twoCellAnchor>
    <xdr:from>
      <xdr:col>4</xdr:col>
      <xdr:colOff>331932</xdr:colOff>
      <xdr:row>295</xdr:row>
      <xdr:rowOff>115455</xdr:rowOff>
    </xdr:from>
    <xdr:to>
      <xdr:col>4</xdr:col>
      <xdr:colOff>750980</xdr:colOff>
      <xdr:row>295</xdr:row>
      <xdr:rowOff>753550</xdr:rowOff>
    </xdr:to>
    <xdr:pic>
      <xdr:nvPicPr>
        <xdr:cNvPr id="1147" name="圖片 1146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257387" y="459812160"/>
          <a:ext cx="419048" cy="638095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385</xdr:row>
      <xdr:rowOff>173182</xdr:rowOff>
    </xdr:from>
    <xdr:to>
      <xdr:col>4</xdr:col>
      <xdr:colOff>831202</xdr:colOff>
      <xdr:row>385</xdr:row>
      <xdr:rowOff>744611</xdr:rowOff>
    </xdr:to>
    <xdr:pic>
      <xdr:nvPicPr>
        <xdr:cNvPr id="1149" name="圖片 1148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185228" y="460894546"/>
          <a:ext cx="571429" cy="571429"/>
        </a:xfrm>
        <a:prstGeom prst="rect">
          <a:avLst/>
        </a:prstGeom>
      </xdr:spPr>
    </xdr:pic>
    <xdr:clientData/>
  </xdr:twoCellAnchor>
  <xdr:twoCellAnchor>
    <xdr:from>
      <xdr:col>4</xdr:col>
      <xdr:colOff>331932</xdr:colOff>
      <xdr:row>266</xdr:row>
      <xdr:rowOff>173182</xdr:rowOff>
    </xdr:from>
    <xdr:to>
      <xdr:col>4</xdr:col>
      <xdr:colOff>760503</xdr:colOff>
      <xdr:row>266</xdr:row>
      <xdr:rowOff>706515</xdr:rowOff>
    </xdr:to>
    <xdr:pic>
      <xdr:nvPicPr>
        <xdr:cNvPr id="1150" name="圖片 1149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257387" y="461919205"/>
          <a:ext cx="428571" cy="533333"/>
        </a:xfrm>
        <a:prstGeom prst="rect">
          <a:avLst/>
        </a:prstGeom>
      </xdr:spPr>
    </xdr:pic>
    <xdr:clientData/>
  </xdr:twoCellAnchor>
  <xdr:twoCellAnchor>
    <xdr:from>
      <xdr:col>6</xdr:col>
      <xdr:colOff>173182</xdr:colOff>
      <xdr:row>412</xdr:row>
      <xdr:rowOff>72159</xdr:rowOff>
    </xdr:from>
    <xdr:to>
      <xdr:col>6</xdr:col>
      <xdr:colOff>1894149</xdr:colOff>
      <xdr:row>412</xdr:row>
      <xdr:rowOff>952500</xdr:rowOff>
    </xdr:to>
    <xdr:pic>
      <xdr:nvPicPr>
        <xdr:cNvPr id="1153" name="圖片 1152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10751705" y="434152386"/>
          <a:ext cx="1720967" cy="880341"/>
        </a:xfrm>
        <a:prstGeom prst="rect">
          <a:avLst/>
        </a:prstGeom>
      </xdr:spPr>
    </xdr:pic>
    <xdr:clientData/>
  </xdr:twoCellAnchor>
  <xdr:twoCellAnchor>
    <xdr:from>
      <xdr:col>6</xdr:col>
      <xdr:colOff>245342</xdr:colOff>
      <xdr:row>392</xdr:row>
      <xdr:rowOff>115454</xdr:rowOff>
    </xdr:from>
    <xdr:to>
      <xdr:col>6</xdr:col>
      <xdr:colOff>1990796</xdr:colOff>
      <xdr:row>392</xdr:row>
      <xdr:rowOff>981363</xdr:rowOff>
    </xdr:to>
    <xdr:pic>
      <xdr:nvPicPr>
        <xdr:cNvPr id="1155" name="圖片 115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10823865" y="435220340"/>
          <a:ext cx="1745454" cy="865909"/>
        </a:xfrm>
        <a:prstGeom prst="rect">
          <a:avLst/>
        </a:prstGeom>
      </xdr:spPr>
    </xdr:pic>
    <xdr:clientData/>
  </xdr:twoCellAnchor>
  <xdr:twoCellAnchor>
    <xdr:from>
      <xdr:col>6</xdr:col>
      <xdr:colOff>230909</xdr:colOff>
      <xdr:row>411</xdr:row>
      <xdr:rowOff>86591</xdr:rowOff>
    </xdr:from>
    <xdr:to>
      <xdr:col>6</xdr:col>
      <xdr:colOff>1862506</xdr:colOff>
      <xdr:row>411</xdr:row>
      <xdr:rowOff>880341</xdr:rowOff>
    </xdr:to>
    <xdr:pic>
      <xdr:nvPicPr>
        <xdr:cNvPr id="1157" name="圖片 1156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10809432" y="436216136"/>
          <a:ext cx="1631597" cy="793750"/>
        </a:xfrm>
        <a:prstGeom prst="rect">
          <a:avLst/>
        </a:prstGeom>
      </xdr:spPr>
    </xdr:pic>
    <xdr:clientData/>
  </xdr:twoCellAnchor>
  <xdr:twoCellAnchor>
    <xdr:from>
      <xdr:col>6</xdr:col>
      <xdr:colOff>187613</xdr:colOff>
      <xdr:row>391</xdr:row>
      <xdr:rowOff>115454</xdr:rowOff>
    </xdr:from>
    <xdr:to>
      <xdr:col>6</xdr:col>
      <xdr:colOff>1977159</xdr:colOff>
      <xdr:row>391</xdr:row>
      <xdr:rowOff>923635</xdr:rowOff>
    </xdr:to>
    <xdr:pic>
      <xdr:nvPicPr>
        <xdr:cNvPr id="1159" name="圖片 1158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10766136" y="437269659"/>
          <a:ext cx="1789546" cy="808181"/>
        </a:xfrm>
        <a:prstGeom prst="rect">
          <a:avLst/>
        </a:prstGeom>
      </xdr:spPr>
    </xdr:pic>
    <xdr:clientData/>
  </xdr:twoCellAnchor>
  <xdr:twoCellAnchor>
    <xdr:from>
      <xdr:col>6</xdr:col>
      <xdr:colOff>173181</xdr:colOff>
      <xdr:row>390</xdr:row>
      <xdr:rowOff>57727</xdr:rowOff>
    </xdr:from>
    <xdr:to>
      <xdr:col>6</xdr:col>
      <xdr:colOff>1991590</xdr:colOff>
      <xdr:row>390</xdr:row>
      <xdr:rowOff>931962</xdr:rowOff>
    </xdr:to>
    <xdr:pic>
      <xdr:nvPicPr>
        <xdr:cNvPr id="1160" name="圖片 1159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10751704" y="438236591"/>
          <a:ext cx="1818409" cy="874235"/>
        </a:xfrm>
        <a:prstGeom prst="rect">
          <a:avLst/>
        </a:prstGeom>
      </xdr:spPr>
    </xdr:pic>
    <xdr:clientData/>
  </xdr:twoCellAnchor>
  <xdr:twoCellAnchor>
    <xdr:from>
      <xdr:col>6</xdr:col>
      <xdr:colOff>230909</xdr:colOff>
      <xdr:row>389</xdr:row>
      <xdr:rowOff>115454</xdr:rowOff>
    </xdr:from>
    <xdr:to>
      <xdr:col>6</xdr:col>
      <xdr:colOff>1754719</xdr:colOff>
      <xdr:row>389</xdr:row>
      <xdr:rowOff>886883</xdr:rowOff>
    </xdr:to>
    <xdr:pic>
      <xdr:nvPicPr>
        <xdr:cNvPr id="193" name="圖片 192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10809432" y="439318977"/>
          <a:ext cx="1523810" cy="771429"/>
        </a:xfrm>
        <a:prstGeom prst="rect">
          <a:avLst/>
        </a:prstGeom>
      </xdr:spPr>
    </xdr:pic>
    <xdr:clientData/>
  </xdr:twoCellAnchor>
  <xdr:twoCellAnchor>
    <xdr:from>
      <xdr:col>6</xdr:col>
      <xdr:colOff>259772</xdr:colOff>
      <xdr:row>356</xdr:row>
      <xdr:rowOff>144318</xdr:rowOff>
    </xdr:from>
    <xdr:to>
      <xdr:col>6</xdr:col>
      <xdr:colOff>1755010</xdr:colOff>
      <xdr:row>356</xdr:row>
      <xdr:rowOff>925270</xdr:rowOff>
    </xdr:to>
    <xdr:pic>
      <xdr:nvPicPr>
        <xdr:cNvPr id="204" name="圖片 203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10838295" y="440372500"/>
          <a:ext cx="1495238" cy="780952"/>
        </a:xfrm>
        <a:prstGeom prst="rect">
          <a:avLst/>
        </a:prstGeom>
      </xdr:spPr>
    </xdr:pic>
    <xdr:clientData/>
  </xdr:twoCellAnchor>
  <xdr:twoCellAnchor>
    <xdr:from>
      <xdr:col>6</xdr:col>
      <xdr:colOff>288637</xdr:colOff>
      <xdr:row>357</xdr:row>
      <xdr:rowOff>101023</xdr:rowOff>
    </xdr:from>
    <xdr:to>
      <xdr:col>6</xdr:col>
      <xdr:colOff>1783875</xdr:colOff>
      <xdr:row>357</xdr:row>
      <xdr:rowOff>872452</xdr:rowOff>
    </xdr:to>
    <xdr:pic>
      <xdr:nvPicPr>
        <xdr:cNvPr id="660" name="圖片 659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10867160" y="441353864"/>
          <a:ext cx="1495238" cy="771429"/>
        </a:xfrm>
        <a:prstGeom prst="rect">
          <a:avLst/>
        </a:prstGeom>
      </xdr:spPr>
    </xdr:pic>
    <xdr:clientData/>
  </xdr:twoCellAnchor>
  <xdr:twoCellAnchor>
    <xdr:from>
      <xdr:col>6</xdr:col>
      <xdr:colOff>288637</xdr:colOff>
      <xdr:row>358</xdr:row>
      <xdr:rowOff>101022</xdr:rowOff>
    </xdr:from>
    <xdr:to>
      <xdr:col>6</xdr:col>
      <xdr:colOff>1764827</xdr:colOff>
      <xdr:row>358</xdr:row>
      <xdr:rowOff>843879</xdr:rowOff>
    </xdr:to>
    <xdr:pic>
      <xdr:nvPicPr>
        <xdr:cNvPr id="711" name="圖片 710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10867160" y="442378522"/>
          <a:ext cx="1476190" cy="742857"/>
        </a:xfrm>
        <a:prstGeom prst="rect">
          <a:avLst/>
        </a:prstGeom>
      </xdr:spPr>
    </xdr:pic>
    <xdr:clientData/>
  </xdr:twoCellAnchor>
  <xdr:twoCellAnchor>
    <xdr:from>
      <xdr:col>6</xdr:col>
      <xdr:colOff>288636</xdr:colOff>
      <xdr:row>359</xdr:row>
      <xdr:rowOff>129886</xdr:rowOff>
    </xdr:from>
    <xdr:to>
      <xdr:col>6</xdr:col>
      <xdr:colOff>1869588</xdr:colOff>
      <xdr:row>359</xdr:row>
      <xdr:rowOff>872743</xdr:rowOff>
    </xdr:to>
    <xdr:pic>
      <xdr:nvPicPr>
        <xdr:cNvPr id="853" name="圖片 85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10867159" y="443432045"/>
          <a:ext cx="1580952" cy="742857"/>
        </a:xfrm>
        <a:prstGeom prst="rect">
          <a:avLst/>
        </a:prstGeom>
      </xdr:spPr>
    </xdr:pic>
    <xdr:clientData/>
  </xdr:twoCellAnchor>
  <xdr:twoCellAnchor>
    <xdr:from>
      <xdr:col>6</xdr:col>
      <xdr:colOff>375227</xdr:colOff>
      <xdr:row>360</xdr:row>
      <xdr:rowOff>187613</xdr:rowOff>
    </xdr:from>
    <xdr:to>
      <xdr:col>6</xdr:col>
      <xdr:colOff>1860941</xdr:colOff>
      <xdr:row>360</xdr:row>
      <xdr:rowOff>920946</xdr:rowOff>
    </xdr:to>
    <xdr:pic>
      <xdr:nvPicPr>
        <xdr:cNvPr id="861" name="圖片 860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10953750" y="444514431"/>
          <a:ext cx="1485714" cy="733333"/>
        </a:xfrm>
        <a:prstGeom prst="rect">
          <a:avLst/>
        </a:prstGeom>
      </xdr:spPr>
    </xdr:pic>
    <xdr:clientData/>
  </xdr:twoCellAnchor>
  <xdr:twoCellAnchor>
    <xdr:from>
      <xdr:col>6</xdr:col>
      <xdr:colOff>274205</xdr:colOff>
      <xdr:row>361</xdr:row>
      <xdr:rowOff>173182</xdr:rowOff>
    </xdr:from>
    <xdr:to>
      <xdr:col>6</xdr:col>
      <xdr:colOff>1807538</xdr:colOff>
      <xdr:row>361</xdr:row>
      <xdr:rowOff>944611</xdr:rowOff>
    </xdr:to>
    <xdr:pic>
      <xdr:nvPicPr>
        <xdr:cNvPr id="871" name="圖片 870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10852728" y="445524659"/>
          <a:ext cx="1533333" cy="771429"/>
        </a:xfrm>
        <a:prstGeom prst="rect">
          <a:avLst/>
        </a:prstGeom>
      </xdr:spPr>
    </xdr:pic>
    <xdr:clientData/>
  </xdr:twoCellAnchor>
  <xdr:twoCellAnchor>
    <xdr:from>
      <xdr:col>6</xdr:col>
      <xdr:colOff>317500</xdr:colOff>
      <xdr:row>362</xdr:row>
      <xdr:rowOff>202046</xdr:rowOff>
    </xdr:from>
    <xdr:to>
      <xdr:col>6</xdr:col>
      <xdr:colOff>1803214</xdr:colOff>
      <xdr:row>362</xdr:row>
      <xdr:rowOff>906808</xdr:rowOff>
    </xdr:to>
    <xdr:pic>
      <xdr:nvPicPr>
        <xdr:cNvPr id="903" name="圖片 902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10896023" y="446578182"/>
          <a:ext cx="1485714" cy="704762"/>
        </a:xfrm>
        <a:prstGeom prst="rect">
          <a:avLst/>
        </a:prstGeom>
      </xdr:spPr>
    </xdr:pic>
    <xdr:clientData/>
  </xdr:twoCellAnchor>
  <xdr:twoCellAnchor>
    <xdr:from>
      <xdr:col>6</xdr:col>
      <xdr:colOff>187614</xdr:colOff>
      <xdr:row>388</xdr:row>
      <xdr:rowOff>158750</xdr:rowOff>
    </xdr:from>
    <xdr:to>
      <xdr:col>6</xdr:col>
      <xdr:colOff>1739995</xdr:colOff>
      <xdr:row>388</xdr:row>
      <xdr:rowOff>958750</xdr:rowOff>
    </xdr:to>
    <xdr:pic>
      <xdr:nvPicPr>
        <xdr:cNvPr id="1130" name="圖片 1129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10766137" y="448584205"/>
          <a:ext cx="1552381" cy="800000"/>
        </a:xfrm>
        <a:prstGeom prst="rect">
          <a:avLst/>
        </a:prstGeom>
      </xdr:spPr>
    </xdr:pic>
    <xdr:clientData/>
  </xdr:twoCellAnchor>
  <xdr:twoCellAnchor>
    <xdr:from>
      <xdr:col>6</xdr:col>
      <xdr:colOff>274205</xdr:colOff>
      <xdr:row>380</xdr:row>
      <xdr:rowOff>144318</xdr:rowOff>
    </xdr:from>
    <xdr:to>
      <xdr:col>6</xdr:col>
      <xdr:colOff>1759919</xdr:colOff>
      <xdr:row>380</xdr:row>
      <xdr:rowOff>953842</xdr:rowOff>
    </xdr:to>
    <xdr:pic>
      <xdr:nvPicPr>
        <xdr:cNvPr id="1132" name="圖片 1131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10852728" y="449594432"/>
          <a:ext cx="1485714" cy="809524"/>
        </a:xfrm>
        <a:prstGeom prst="rect">
          <a:avLst/>
        </a:prstGeom>
      </xdr:spPr>
    </xdr:pic>
    <xdr:clientData/>
  </xdr:twoCellAnchor>
  <xdr:twoCellAnchor>
    <xdr:from>
      <xdr:col>6</xdr:col>
      <xdr:colOff>360796</xdr:colOff>
      <xdr:row>383</xdr:row>
      <xdr:rowOff>115454</xdr:rowOff>
    </xdr:from>
    <xdr:to>
      <xdr:col>6</xdr:col>
      <xdr:colOff>1884606</xdr:colOff>
      <xdr:row>383</xdr:row>
      <xdr:rowOff>886883</xdr:rowOff>
    </xdr:to>
    <xdr:pic>
      <xdr:nvPicPr>
        <xdr:cNvPr id="1144" name="圖片 1143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10939319" y="450590227"/>
          <a:ext cx="1523810" cy="771429"/>
        </a:xfrm>
        <a:prstGeom prst="rect">
          <a:avLst/>
        </a:prstGeom>
      </xdr:spPr>
    </xdr:pic>
    <xdr:clientData/>
  </xdr:twoCellAnchor>
  <xdr:twoCellAnchor>
    <xdr:from>
      <xdr:col>6</xdr:col>
      <xdr:colOff>259773</xdr:colOff>
      <xdr:row>281</xdr:row>
      <xdr:rowOff>158750</xdr:rowOff>
    </xdr:from>
    <xdr:to>
      <xdr:col>6</xdr:col>
      <xdr:colOff>1840725</xdr:colOff>
      <xdr:row>281</xdr:row>
      <xdr:rowOff>949226</xdr:rowOff>
    </xdr:to>
    <xdr:pic>
      <xdr:nvPicPr>
        <xdr:cNvPr id="1148" name="圖片 1147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10838296" y="451658182"/>
          <a:ext cx="1580952" cy="790476"/>
        </a:xfrm>
        <a:prstGeom prst="rect">
          <a:avLst/>
        </a:prstGeom>
      </xdr:spPr>
    </xdr:pic>
    <xdr:clientData/>
  </xdr:twoCellAnchor>
  <xdr:twoCellAnchor>
    <xdr:from>
      <xdr:col>6</xdr:col>
      <xdr:colOff>288636</xdr:colOff>
      <xdr:row>267</xdr:row>
      <xdr:rowOff>115455</xdr:rowOff>
    </xdr:from>
    <xdr:to>
      <xdr:col>6</xdr:col>
      <xdr:colOff>1774350</xdr:colOff>
      <xdr:row>267</xdr:row>
      <xdr:rowOff>944026</xdr:rowOff>
    </xdr:to>
    <xdr:pic>
      <xdr:nvPicPr>
        <xdr:cNvPr id="1154" name="圖片 1153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10867159" y="452639546"/>
          <a:ext cx="1485714" cy="828571"/>
        </a:xfrm>
        <a:prstGeom prst="rect">
          <a:avLst/>
        </a:prstGeom>
      </xdr:spPr>
    </xdr:pic>
    <xdr:clientData/>
  </xdr:twoCellAnchor>
  <xdr:twoCellAnchor>
    <xdr:from>
      <xdr:col>6</xdr:col>
      <xdr:colOff>274204</xdr:colOff>
      <xdr:row>381</xdr:row>
      <xdr:rowOff>158750</xdr:rowOff>
    </xdr:from>
    <xdr:to>
      <xdr:col>6</xdr:col>
      <xdr:colOff>1845633</xdr:colOff>
      <xdr:row>381</xdr:row>
      <xdr:rowOff>949226</xdr:rowOff>
    </xdr:to>
    <xdr:pic>
      <xdr:nvPicPr>
        <xdr:cNvPr id="1158" name="圖片 1157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10852727" y="453707500"/>
          <a:ext cx="1571429" cy="790476"/>
        </a:xfrm>
        <a:prstGeom prst="rect">
          <a:avLst/>
        </a:prstGeom>
      </xdr:spPr>
    </xdr:pic>
    <xdr:clientData/>
  </xdr:twoCellAnchor>
  <xdr:twoCellAnchor>
    <xdr:from>
      <xdr:col>6</xdr:col>
      <xdr:colOff>245341</xdr:colOff>
      <xdr:row>296</xdr:row>
      <xdr:rowOff>86591</xdr:rowOff>
    </xdr:from>
    <xdr:to>
      <xdr:col>6</xdr:col>
      <xdr:colOff>1769151</xdr:colOff>
      <xdr:row>296</xdr:row>
      <xdr:rowOff>896115</xdr:rowOff>
    </xdr:to>
    <xdr:pic>
      <xdr:nvPicPr>
        <xdr:cNvPr id="1161" name="圖片 1160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10823864" y="454660000"/>
          <a:ext cx="1523810" cy="809524"/>
        </a:xfrm>
        <a:prstGeom prst="rect">
          <a:avLst/>
        </a:prstGeom>
      </xdr:spPr>
    </xdr:pic>
    <xdr:clientData/>
  </xdr:twoCellAnchor>
  <xdr:twoCellAnchor>
    <xdr:from>
      <xdr:col>6</xdr:col>
      <xdr:colOff>187613</xdr:colOff>
      <xdr:row>382</xdr:row>
      <xdr:rowOff>158750</xdr:rowOff>
    </xdr:from>
    <xdr:to>
      <xdr:col>6</xdr:col>
      <xdr:colOff>1749518</xdr:colOff>
      <xdr:row>382</xdr:row>
      <xdr:rowOff>901607</xdr:rowOff>
    </xdr:to>
    <xdr:pic>
      <xdr:nvPicPr>
        <xdr:cNvPr id="1163" name="圖片 1162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10766136" y="455756818"/>
          <a:ext cx="1561905" cy="742857"/>
        </a:xfrm>
        <a:prstGeom prst="rect">
          <a:avLst/>
        </a:prstGeom>
      </xdr:spPr>
    </xdr:pic>
    <xdr:clientData/>
  </xdr:twoCellAnchor>
  <xdr:twoCellAnchor>
    <xdr:from>
      <xdr:col>6</xdr:col>
      <xdr:colOff>245341</xdr:colOff>
      <xdr:row>282</xdr:row>
      <xdr:rowOff>115454</xdr:rowOff>
    </xdr:from>
    <xdr:to>
      <xdr:col>6</xdr:col>
      <xdr:colOff>1769151</xdr:colOff>
      <xdr:row>282</xdr:row>
      <xdr:rowOff>944025</xdr:rowOff>
    </xdr:to>
    <xdr:pic>
      <xdr:nvPicPr>
        <xdr:cNvPr id="1165" name="圖片 1164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10823864" y="456738181"/>
          <a:ext cx="1523810" cy="828571"/>
        </a:xfrm>
        <a:prstGeom prst="rect">
          <a:avLst/>
        </a:prstGeom>
      </xdr:spPr>
    </xdr:pic>
    <xdr:clientData/>
  </xdr:twoCellAnchor>
  <xdr:twoCellAnchor>
    <xdr:from>
      <xdr:col>6</xdr:col>
      <xdr:colOff>216478</xdr:colOff>
      <xdr:row>384</xdr:row>
      <xdr:rowOff>101023</xdr:rowOff>
    </xdr:from>
    <xdr:to>
      <xdr:col>6</xdr:col>
      <xdr:colOff>1797430</xdr:colOff>
      <xdr:row>384</xdr:row>
      <xdr:rowOff>767690</xdr:rowOff>
    </xdr:to>
    <xdr:pic>
      <xdr:nvPicPr>
        <xdr:cNvPr id="1167" name="圖片 1166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10795001" y="457748409"/>
          <a:ext cx="1580952" cy="666667"/>
        </a:xfrm>
        <a:prstGeom prst="rect">
          <a:avLst/>
        </a:prstGeom>
      </xdr:spPr>
    </xdr:pic>
    <xdr:clientData/>
  </xdr:twoCellAnchor>
  <xdr:twoCellAnchor>
    <xdr:from>
      <xdr:col>6</xdr:col>
      <xdr:colOff>303069</xdr:colOff>
      <xdr:row>387</xdr:row>
      <xdr:rowOff>158750</xdr:rowOff>
    </xdr:from>
    <xdr:to>
      <xdr:col>6</xdr:col>
      <xdr:colOff>1845926</xdr:colOff>
      <xdr:row>387</xdr:row>
      <xdr:rowOff>930179</xdr:rowOff>
    </xdr:to>
    <xdr:pic>
      <xdr:nvPicPr>
        <xdr:cNvPr id="1169" name="圖片 1168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10881592" y="458830795"/>
          <a:ext cx="1542857" cy="771429"/>
        </a:xfrm>
        <a:prstGeom prst="rect">
          <a:avLst/>
        </a:prstGeom>
      </xdr:spPr>
    </xdr:pic>
    <xdr:clientData/>
  </xdr:twoCellAnchor>
  <xdr:twoCellAnchor>
    <xdr:from>
      <xdr:col>6</xdr:col>
      <xdr:colOff>274204</xdr:colOff>
      <xdr:row>295</xdr:row>
      <xdr:rowOff>187614</xdr:rowOff>
    </xdr:from>
    <xdr:to>
      <xdr:col>6</xdr:col>
      <xdr:colOff>1845633</xdr:colOff>
      <xdr:row>295</xdr:row>
      <xdr:rowOff>959043</xdr:rowOff>
    </xdr:to>
    <xdr:pic>
      <xdr:nvPicPr>
        <xdr:cNvPr id="1171" name="圖片 1170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10852727" y="459884319"/>
          <a:ext cx="1571429" cy="771429"/>
        </a:xfrm>
        <a:prstGeom prst="rect">
          <a:avLst/>
        </a:prstGeom>
      </xdr:spPr>
    </xdr:pic>
    <xdr:clientData/>
  </xdr:twoCellAnchor>
  <xdr:twoCellAnchor>
    <xdr:from>
      <xdr:col>6</xdr:col>
      <xdr:colOff>274204</xdr:colOff>
      <xdr:row>385</xdr:row>
      <xdr:rowOff>129886</xdr:rowOff>
    </xdr:from>
    <xdr:to>
      <xdr:col>6</xdr:col>
      <xdr:colOff>1798014</xdr:colOff>
      <xdr:row>385</xdr:row>
      <xdr:rowOff>882267</xdr:rowOff>
    </xdr:to>
    <xdr:pic>
      <xdr:nvPicPr>
        <xdr:cNvPr id="1173" name="圖片 1172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10852727" y="460851250"/>
          <a:ext cx="1523810" cy="752381"/>
        </a:xfrm>
        <a:prstGeom prst="rect">
          <a:avLst/>
        </a:prstGeom>
      </xdr:spPr>
    </xdr:pic>
    <xdr:clientData/>
  </xdr:twoCellAnchor>
  <xdr:twoCellAnchor>
    <xdr:from>
      <xdr:col>6</xdr:col>
      <xdr:colOff>202046</xdr:colOff>
      <xdr:row>266</xdr:row>
      <xdr:rowOff>144318</xdr:rowOff>
    </xdr:from>
    <xdr:to>
      <xdr:col>6</xdr:col>
      <xdr:colOff>1725856</xdr:colOff>
      <xdr:row>266</xdr:row>
      <xdr:rowOff>972889</xdr:rowOff>
    </xdr:to>
    <xdr:pic>
      <xdr:nvPicPr>
        <xdr:cNvPr id="1175" name="圖片 1174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10780569" y="461890341"/>
          <a:ext cx="1523810" cy="828571"/>
        </a:xfrm>
        <a:prstGeom prst="rect">
          <a:avLst/>
        </a:prstGeom>
      </xdr:spPr>
    </xdr:pic>
    <xdr:clientData/>
  </xdr:twoCellAnchor>
  <xdr:twoCellAnchor>
    <xdr:from>
      <xdr:col>4</xdr:col>
      <xdr:colOff>158750</xdr:colOff>
      <xdr:row>256</xdr:row>
      <xdr:rowOff>259773</xdr:rowOff>
    </xdr:from>
    <xdr:to>
      <xdr:col>4</xdr:col>
      <xdr:colOff>1241136</xdr:colOff>
      <xdr:row>256</xdr:row>
      <xdr:rowOff>793750</xdr:rowOff>
    </xdr:to>
    <xdr:pic>
      <xdr:nvPicPr>
        <xdr:cNvPr id="1177" name="圖片 1176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084205" y="463030455"/>
          <a:ext cx="1082386" cy="533977"/>
        </a:xfrm>
        <a:prstGeom prst="rect">
          <a:avLst/>
        </a:prstGeom>
      </xdr:spPr>
    </xdr:pic>
    <xdr:clientData/>
  </xdr:twoCellAnchor>
  <xdr:twoCellAnchor>
    <xdr:from>
      <xdr:col>6</xdr:col>
      <xdr:colOff>274205</xdr:colOff>
      <xdr:row>256</xdr:row>
      <xdr:rowOff>115455</xdr:rowOff>
    </xdr:from>
    <xdr:to>
      <xdr:col>6</xdr:col>
      <xdr:colOff>1803763</xdr:colOff>
      <xdr:row>256</xdr:row>
      <xdr:rowOff>894773</xdr:rowOff>
    </xdr:to>
    <xdr:pic>
      <xdr:nvPicPr>
        <xdr:cNvPr id="1179" name="圖片 1178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10852728" y="462886137"/>
          <a:ext cx="1529558" cy="779318"/>
        </a:xfrm>
        <a:prstGeom prst="rect">
          <a:avLst/>
        </a:prstGeom>
      </xdr:spPr>
    </xdr:pic>
    <xdr:clientData/>
  </xdr:twoCellAnchor>
  <xdr:twoCellAnchor>
    <xdr:from>
      <xdr:col>4</xdr:col>
      <xdr:colOff>202046</xdr:colOff>
      <xdr:row>258</xdr:row>
      <xdr:rowOff>230909</xdr:rowOff>
    </xdr:from>
    <xdr:to>
      <xdr:col>4</xdr:col>
      <xdr:colOff>763951</xdr:colOff>
      <xdr:row>258</xdr:row>
      <xdr:rowOff>821385</xdr:rowOff>
    </xdr:to>
    <xdr:pic>
      <xdr:nvPicPr>
        <xdr:cNvPr id="1181" name="圖片 1180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127501" y="431237159"/>
          <a:ext cx="561905" cy="590476"/>
        </a:xfrm>
        <a:prstGeom prst="rect">
          <a:avLst/>
        </a:prstGeom>
      </xdr:spPr>
    </xdr:pic>
    <xdr:clientData/>
  </xdr:twoCellAnchor>
  <xdr:twoCellAnchor>
    <xdr:from>
      <xdr:col>4</xdr:col>
      <xdr:colOff>375227</xdr:colOff>
      <xdr:row>308</xdr:row>
      <xdr:rowOff>129887</xdr:rowOff>
    </xdr:from>
    <xdr:to>
      <xdr:col>4</xdr:col>
      <xdr:colOff>918084</xdr:colOff>
      <xdr:row>308</xdr:row>
      <xdr:rowOff>806077</xdr:rowOff>
    </xdr:to>
    <xdr:pic>
      <xdr:nvPicPr>
        <xdr:cNvPr id="1183" name="圖片 1182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300682" y="463925228"/>
          <a:ext cx="542857" cy="676190"/>
        </a:xfrm>
        <a:prstGeom prst="rect">
          <a:avLst/>
        </a:prstGeom>
      </xdr:spPr>
    </xdr:pic>
    <xdr:clientData/>
  </xdr:twoCellAnchor>
  <xdr:twoCellAnchor>
    <xdr:from>
      <xdr:col>6</xdr:col>
      <xdr:colOff>216478</xdr:colOff>
      <xdr:row>308</xdr:row>
      <xdr:rowOff>129886</xdr:rowOff>
    </xdr:from>
    <xdr:to>
      <xdr:col>6</xdr:col>
      <xdr:colOff>1826323</xdr:colOff>
      <xdr:row>308</xdr:row>
      <xdr:rowOff>880340</xdr:rowOff>
    </xdr:to>
    <xdr:pic>
      <xdr:nvPicPr>
        <xdr:cNvPr id="1185" name="圖片 1184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10795001" y="463925227"/>
          <a:ext cx="1609845" cy="750454"/>
        </a:xfrm>
        <a:prstGeom prst="rect">
          <a:avLst/>
        </a:prstGeom>
      </xdr:spPr>
    </xdr:pic>
    <xdr:clientData/>
  </xdr:twoCellAnchor>
  <xdr:twoCellAnchor>
    <xdr:from>
      <xdr:col>6</xdr:col>
      <xdr:colOff>245342</xdr:colOff>
      <xdr:row>257</xdr:row>
      <xdr:rowOff>101023</xdr:rowOff>
    </xdr:from>
    <xdr:to>
      <xdr:col>6</xdr:col>
      <xdr:colOff>1870942</xdr:colOff>
      <xdr:row>257</xdr:row>
      <xdr:rowOff>894773</xdr:rowOff>
    </xdr:to>
    <xdr:pic>
      <xdr:nvPicPr>
        <xdr:cNvPr id="1186" name="圖片 1185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10823865" y="464921023"/>
          <a:ext cx="1625600" cy="793750"/>
        </a:xfrm>
        <a:prstGeom prst="rect">
          <a:avLst/>
        </a:prstGeom>
      </xdr:spPr>
    </xdr:pic>
    <xdr:clientData/>
  </xdr:twoCellAnchor>
  <xdr:twoCellAnchor>
    <xdr:from>
      <xdr:col>4</xdr:col>
      <xdr:colOff>317500</xdr:colOff>
      <xdr:row>257</xdr:row>
      <xdr:rowOff>230909</xdr:rowOff>
    </xdr:from>
    <xdr:to>
      <xdr:col>4</xdr:col>
      <xdr:colOff>803214</xdr:colOff>
      <xdr:row>257</xdr:row>
      <xdr:rowOff>830909</xdr:rowOff>
    </xdr:to>
    <xdr:pic>
      <xdr:nvPicPr>
        <xdr:cNvPr id="1188" name="圖片 1187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242955" y="465050909"/>
          <a:ext cx="485714" cy="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234535</xdr:colOff>
      <xdr:row>0</xdr:row>
      <xdr:rowOff>166499</xdr:rowOff>
    </xdr:from>
    <xdr:to>
      <xdr:col>2</xdr:col>
      <xdr:colOff>923679</xdr:colOff>
      <xdr:row>0</xdr:row>
      <xdr:rowOff>855643</xdr:rowOff>
    </xdr:to>
    <xdr:pic>
      <xdr:nvPicPr>
        <xdr:cNvPr id="2" name="圖片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385" y="89206199"/>
          <a:ext cx="689144" cy="689144"/>
        </a:xfrm>
        <a:prstGeom prst="rect">
          <a:avLst/>
        </a:prstGeom>
      </xdr:spPr>
    </xdr:pic>
    <xdr:clientData/>
  </xdr:twoCellAnchor>
  <xdr:twoCellAnchor>
    <xdr:from>
      <xdr:col>2</xdr:col>
      <xdr:colOff>356680</xdr:colOff>
      <xdr:row>2</xdr:row>
      <xdr:rowOff>125356</xdr:rowOff>
    </xdr:from>
    <xdr:to>
      <xdr:col>2</xdr:col>
      <xdr:colOff>1045792</xdr:colOff>
      <xdr:row>2</xdr:row>
      <xdr:rowOff>814500</xdr:rowOff>
    </xdr:to>
    <xdr:pic>
      <xdr:nvPicPr>
        <xdr:cNvPr id="3" name="圖片 4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7530" y="93203656"/>
          <a:ext cx="689112" cy="689144"/>
        </a:xfrm>
        <a:prstGeom prst="rect">
          <a:avLst/>
        </a:prstGeom>
      </xdr:spPr>
    </xdr:pic>
    <xdr:clientData/>
  </xdr:twoCellAnchor>
  <xdr:twoCellAnchor>
    <xdr:from>
      <xdr:col>2</xdr:col>
      <xdr:colOff>204429</xdr:colOff>
      <xdr:row>1</xdr:row>
      <xdr:rowOff>68356</xdr:rowOff>
    </xdr:from>
    <xdr:to>
      <xdr:col>2</xdr:col>
      <xdr:colOff>893573</xdr:colOff>
      <xdr:row>1</xdr:row>
      <xdr:rowOff>757500</xdr:rowOff>
    </xdr:to>
    <xdr:pic>
      <xdr:nvPicPr>
        <xdr:cNvPr id="4" name="圖片 49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5279" y="5878606"/>
          <a:ext cx="689144" cy="689144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</xdr:row>
      <xdr:rowOff>76200</xdr:rowOff>
    </xdr:from>
    <xdr:to>
      <xdr:col>2</xdr:col>
      <xdr:colOff>971550</xdr:colOff>
      <xdr:row>4</xdr:row>
      <xdr:rowOff>866775</xdr:rowOff>
    </xdr:to>
    <xdr:pic>
      <xdr:nvPicPr>
        <xdr:cNvPr id="5" name="圖片 3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2800" y="62865000"/>
          <a:ext cx="609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285750</xdr:colOff>
      <xdr:row>14</xdr:row>
      <xdr:rowOff>85725</xdr:rowOff>
    </xdr:from>
    <xdr:to>
      <xdr:col>2</xdr:col>
      <xdr:colOff>904875</xdr:colOff>
      <xdr:row>14</xdr:row>
      <xdr:rowOff>809625</xdr:rowOff>
    </xdr:to>
    <xdr:pic>
      <xdr:nvPicPr>
        <xdr:cNvPr id="6" name="圖片 3" descr="畫面剪輯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6600" y="73980675"/>
          <a:ext cx="6191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22</xdr:row>
      <xdr:rowOff>76200</xdr:rowOff>
    </xdr:from>
    <xdr:to>
      <xdr:col>2</xdr:col>
      <xdr:colOff>942975</xdr:colOff>
      <xdr:row>22</xdr:row>
      <xdr:rowOff>819150</xdr:rowOff>
    </xdr:to>
    <xdr:pic>
      <xdr:nvPicPr>
        <xdr:cNvPr id="7" name="圖片 4" descr="畫面剪輯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79019400"/>
          <a:ext cx="866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20</xdr:row>
      <xdr:rowOff>38100</xdr:rowOff>
    </xdr:from>
    <xdr:to>
      <xdr:col>2</xdr:col>
      <xdr:colOff>895350</xdr:colOff>
      <xdr:row>20</xdr:row>
      <xdr:rowOff>752475</xdr:rowOff>
    </xdr:to>
    <xdr:pic>
      <xdr:nvPicPr>
        <xdr:cNvPr id="8" name="圖片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62775" y="113309400"/>
          <a:ext cx="733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177536</xdr:colOff>
      <xdr:row>23</xdr:row>
      <xdr:rowOff>245571</xdr:rowOff>
    </xdr:from>
    <xdr:to>
      <xdr:col>2</xdr:col>
      <xdr:colOff>866680</xdr:colOff>
      <xdr:row>23</xdr:row>
      <xdr:rowOff>934715</xdr:rowOff>
    </xdr:to>
    <xdr:pic>
      <xdr:nvPicPr>
        <xdr:cNvPr id="9" name="圖片 4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386" y="116545821"/>
          <a:ext cx="689144" cy="689144"/>
        </a:xfrm>
        <a:prstGeom prst="rect">
          <a:avLst/>
        </a:prstGeom>
      </xdr:spPr>
    </xdr:pic>
    <xdr:clientData/>
  </xdr:twoCellAnchor>
  <xdr:twoCellAnchor>
    <xdr:from>
      <xdr:col>2</xdr:col>
      <xdr:colOff>326572</xdr:colOff>
      <xdr:row>24</xdr:row>
      <xdr:rowOff>179463</xdr:rowOff>
    </xdr:from>
    <xdr:to>
      <xdr:col>2</xdr:col>
      <xdr:colOff>1016201</xdr:colOff>
      <xdr:row>24</xdr:row>
      <xdr:rowOff>868607</xdr:rowOff>
    </xdr:to>
    <xdr:pic>
      <xdr:nvPicPr>
        <xdr:cNvPr id="10" name="圖片 49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7422" y="143740263"/>
          <a:ext cx="689629" cy="689144"/>
        </a:xfrm>
        <a:prstGeom prst="rect">
          <a:avLst/>
        </a:prstGeom>
      </xdr:spPr>
    </xdr:pic>
    <xdr:clientData/>
  </xdr:twoCellAnchor>
  <xdr:twoCellAnchor>
    <xdr:from>
      <xdr:col>2</xdr:col>
      <xdr:colOff>136071</xdr:colOff>
      <xdr:row>3</xdr:row>
      <xdr:rowOff>149678</xdr:rowOff>
    </xdr:from>
    <xdr:to>
      <xdr:col>2</xdr:col>
      <xdr:colOff>825215</xdr:colOff>
      <xdr:row>3</xdr:row>
      <xdr:rowOff>838822</xdr:rowOff>
    </xdr:to>
    <xdr:pic>
      <xdr:nvPicPr>
        <xdr:cNvPr id="11" name="圖片 48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921" y="158855228"/>
          <a:ext cx="689144" cy="689144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5</xdr:row>
      <xdr:rowOff>104775</xdr:rowOff>
    </xdr:from>
    <xdr:to>
      <xdr:col>2</xdr:col>
      <xdr:colOff>1028700</xdr:colOff>
      <xdr:row>5</xdr:row>
      <xdr:rowOff>714375</xdr:rowOff>
    </xdr:to>
    <xdr:pic>
      <xdr:nvPicPr>
        <xdr:cNvPr id="12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5625" y="1497234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6</xdr:row>
      <xdr:rowOff>104775</xdr:rowOff>
    </xdr:from>
    <xdr:to>
      <xdr:col>2</xdr:col>
      <xdr:colOff>1028700</xdr:colOff>
      <xdr:row>6</xdr:row>
      <xdr:rowOff>714375</xdr:rowOff>
    </xdr:to>
    <xdr:pic>
      <xdr:nvPicPr>
        <xdr:cNvPr id="13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5625" y="15073312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7</xdr:row>
      <xdr:rowOff>104775</xdr:rowOff>
    </xdr:from>
    <xdr:to>
      <xdr:col>2</xdr:col>
      <xdr:colOff>1028700</xdr:colOff>
      <xdr:row>7</xdr:row>
      <xdr:rowOff>714375</xdr:rowOff>
    </xdr:to>
    <xdr:pic>
      <xdr:nvPicPr>
        <xdr:cNvPr id="14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5625" y="1517427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8</xdr:row>
      <xdr:rowOff>104775</xdr:rowOff>
    </xdr:from>
    <xdr:to>
      <xdr:col>2</xdr:col>
      <xdr:colOff>1028700</xdr:colOff>
      <xdr:row>8</xdr:row>
      <xdr:rowOff>714375</xdr:rowOff>
    </xdr:to>
    <xdr:pic>
      <xdr:nvPicPr>
        <xdr:cNvPr id="15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5625" y="15275242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9</xdr:row>
      <xdr:rowOff>104775</xdr:rowOff>
    </xdr:from>
    <xdr:to>
      <xdr:col>2</xdr:col>
      <xdr:colOff>1028700</xdr:colOff>
      <xdr:row>9</xdr:row>
      <xdr:rowOff>714375</xdr:rowOff>
    </xdr:to>
    <xdr:pic>
      <xdr:nvPicPr>
        <xdr:cNvPr id="16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5625" y="153762075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25</xdr:row>
      <xdr:rowOff>57150</xdr:rowOff>
    </xdr:from>
    <xdr:to>
      <xdr:col>2</xdr:col>
      <xdr:colOff>914400</xdr:colOff>
      <xdr:row>25</xdr:row>
      <xdr:rowOff>904875</xdr:rowOff>
    </xdr:to>
    <xdr:pic>
      <xdr:nvPicPr>
        <xdr:cNvPr id="17" name="圖片 1" descr="畫面剪輯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10400" y="250555125"/>
          <a:ext cx="704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26</xdr:row>
      <xdr:rowOff>114300</xdr:rowOff>
    </xdr:from>
    <xdr:to>
      <xdr:col>2</xdr:col>
      <xdr:colOff>809625</xdr:colOff>
      <xdr:row>26</xdr:row>
      <xdr:rowOff>876300</xdr:rowOff>
    </xdr:to>
    <xdr:pic>
      <xdr:nvPicPr>
        <xdr:cNvPr id="18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53250" y="258689475"/>
          <a:ext cx="657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136392</xdr:colOff>
      <xdr:row>10</xdr:row>
      <xdr:rowOff>95570</xdr:rowOff>
    </xdr:from>
    <xdr:to>
      <xdr:col>2</xdr:col>
      <xdr:colOff>938894</xdr:colOff>
      <xdr:row>10</xdr:row>
      <xdr:rowOff>898072</xdr:rowOff>
    </xdr:to>
    <xdr:pic>
      <xdr:nvPicPr>
        <xdr:cNvPr id="19" name="图片 547" descr="UNYR004C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765292" y="10287320"/>
          <a:ext cx="802502" cy="802502"/>
        </a:xfrm>
        <a:prstGeom prst="rect">
          <a:avLst/>
        </a:prstGeom>
      </xdr:spPr>
    </xdr:pic>
    <xdr:clientData/>
  </xdr:twoCellAnchor>
  <xdr:twoCellAnchor>
    <xdr:from>
      <xdr:col>2</xdr:col>
      <xdr:colOff>136072</xdr:colOff>
      <xdr:row>11</xdr:row>
      <xdr:rowOff>122465</xdr:rowOff>
    </xdr:from>
    <xdr:to>
      <xdr:col>2</xdr:col>
      <xdr:colOff>938574</xdr:colOff>
      <xdr:row>11</xdr:row>
      <xdr:rowOff>924967</xdr:rowOff>
    </xdr:to>
    <xdr:pic>
      <xdr:nvPicPr>
        <xdr:cNvPr id="20" name="图片 548" descr="UNYR004C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936922" y="285958190"/>
          <a:ext cx="802502" cy="802502"/>
        </a:xfrm>
        <a:prstGeom prst="rect">
          <a:avLst/>
        </a:prstGeom>
      </xdr:spPr>
    </xdr:pic>
    <xdr:clientData/>
  </xdr:twoCellAnchor>
  <xdr:twoCellAnchor>
    <xdr:from>
      <xdr:col>2</xdr:col>
      <xdr:colOff>136072</xdr:colOff>
      <xdr:row>12</xdr:row>
      <xdr:rowOff>122465</xdr:rowOff>
    </xdr:from>
    <xdr:to>
      <xdr:col>2</xdr:col>
      <xdr:colOff>938574</xdr:colOff>
      <xdr:row>12</xdr:row>
      <xdr:rowOff>924967</xdr:rowOff>
    </xdr:to>
    <xdr:pic>
      <xdr:nvPicPr>
        <xdr:cNvPr id="21" name="图片 549" descr="UNYR004C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936922" y="286967840"/>
          <a:ext cx="802502" cy="802502"/>
        </a:xfrm>
        <a:prstGeom prst="rect">
          <a:avLst/>
        </a:prstGeom>
      </xdr:spPr>
    </xdr:pic>
    <xdr:clientData/>
  </xdr:twoCellAnchor>
  <xdr:twoCellAnchor>
    <xdr:from>
      <xdr:col>2</xdr:col>
      <xdr:colOff>136072</xdr:colOff>
      <xdr:row>13</xdr:row>
      <xdr:rowOff>122465</xdr:rowOff>
    </xdr:from>
    <xdr:to>
      <xdr:col>2</xdr:col>
      <xdr:colOff>938574</xdr:colOff>
      <xdr:row>13</xdr:row>
      <xdr:rowOff>924967</xdr:rowOff>
    </xdr:to>
    <xdr:pic>
      <xdr:nvPicPr>
        <xdr:cNvPr id="22" name="图片 550" descr="UNYR004C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936922" y="287977490"/>
          <a:ext cx="802502" cy="802502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15</xdr:row>
      <xdr:rowOff>85725</xdr:rowOff>
    </xdr:from>
    <xdr:to>
      <xdr:col>2</xdr:col>
      <xdr:colOff>1114425</xdr:colOff>
      <xdr:row>15</xdr:row>
      <xdr:rowOff>685800</xdr:rowOff>
    </xdr:to>
    <xdr:pic>
      <xdr:nvPicPr>
        <xdr:cNvPr id="23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5150" y="344481150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17</xdr:row>
      <xdr:rowOff>85725</xdr:rowOff>
    </xdr:from>
    <xdr:to>
      <xdr:col>2</xdr:col>
      <xdr:colOff>1114425</xdr:colOff>
      <xdr:row>17</xdr:row>
      <xdr:rowOff>685800</xdr:rowOff>
    </xdr:to>
    <xdr:pic>
      <xdr:nvPicPr>
        <xdr:cNvPr id="24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5150" y="346500450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16</xdr:row>
      <xdr:rowOff>85725</xdr:rowOff>
    </xdr:from>
    <xdr:to>
      <xdr:col>2</xdr:col>
      <xdr:colOff>1114425</xdr:colOff>
      <xdr:row>16</xdr:row>
      <xdr:rowOff>685800</xdr:rowOff>
    </xdr:to>
    <xdr:pic>
      <xdr:nvPicPr>
        <xdr:cNvPr id="25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5150" y="345490800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19</xdr:row>
      <xdr:rowOff>85725</xdr:rowOff>
    </xdr:from>
    <xdr:to>
      <xdr:col>2</xdr:col>
      <xdr:colOff>1114425</xdr:colOff>
      <xdr:row>19</xdr:row>
      <xdr:rowOff>685800</xdr:rowOff>
    </xdr:to>
    <xdr:pic>
      <xdr:nvPicPr>
        <xdr:cNvPr id="26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5150" y="348519750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18</xdr:row>
      <xdr:rowOff>85725</xdr:rowOff>
    </xdr:from>
    <xdr:to>
      <xdr:col>2</xdr:col>
      <xdr:colOff>1114425</xdr:colOff>
      <xdr:row>18</xdr:row>
      <xdr:rowOff>685800</xdr:rowOff>
    </xdr:to>
    <xdr:pic>
      <xdr:nvPicPr>
        <xdr:cNvPr id="27" name="圖片 2" descr="畫面剪輯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5150" y="347510100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21</xdr:row>
      <xdr:rowOff>95250</xdr:rowOff>
    </xdr:from>
    <xdr:to>
      <xdr:col>2</xdr:col>
      <xdr:colOff>981075</xdr:colOff>
      <xdr:row>21</xdr:row>
      <xdr:rowOff>838200</xdr:rowOff>
    </xdr:to>
    <xdr:pic>
      <xdr:nvPicPr>
        <xdr:cNvPr id="28" name="Picture 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38975" y="35155822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</xdr:colOff>
      <xdr:row>27</xdr:row>
      <xdr:rowOff>174625</xdr:rowOff>
    </xdr:from>
    <xdr:to>
      <xdr:col>2</xdr:col>
      <xdr:colOff>857250</xdr:colOff>
      <xdr:row>27</xdr:row>
      <xdr:rowOff>954470</xdr:rowOff>
    </xdr:to>
    <xdr:pic>
      <xdr:nvPicPr>
        <xdr:cNvPr id="32" name="圖片 644" descr="畫面剪輯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9600" y="233508550"/>
          <a:ext cx="698500" cy="779845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28</xdr:row>
      <xdr:rowOff>114300</xdr:rowOff>
    </xdr:from>
    <xdr:to>
      <xdr:col>2</xdr:col>
      <xdr:colOff>904875</xdr:colOff>
      <xdr:row>28</xdr:row>
      <xdr:rowOff>781050</xdr:rowOff>
    </xdr:to>
    <xdr:pic>
      <xdr:nvPicPr>
        <xdr:cNvPr id="33" name="圖片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4200" y="841057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122465</xdr:colOff>
      <xdr:row>29</xdr:row>
      <xdr:rowOff>95250</xdr:rowOff>
    </xdr:from>
    <xdr:to>
      <xdr:col>2</xdr:col>
      <xdr:colOff>1061357</xdr:colOff>
      <xdr:row>29</xdr:row>
      <xdr:rowOff>960881</xdr:rowOff>
    </xdr:to>
    <xdr:pic>
      <xdr:nvPicPr>
        <xdr:cNvPr id="34" name="圖片 182" descr="畫面剪輯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365" y="29651325"/>
          <a:ext cx="938892" cy="865631"/>
        </a:xfrm>
        <a:prstGeom prst="rect">
          <a:avLst/>
        </a:prstGeom>
      </xdr:spPr>
    </xdr:pic>
    <xdr:clientData/>
  </xdr:twoCellAnchor>
  <xdr:twoCellAnchor>
    <xdr:from>
      <xdr:col>2</xdr:col>
      <xdr:colOff>231322</xdr:colOff>
      <xdr:row>31</xdr:row>
      <xdr:rowOff>122464</xdr:rowOff>
    </xdr:from>
    <xdr:to>
      <xdr:col>2</xdr:col>
      <xdr:colOff>1047750</xdr:colOff>
      <xdr:row>31</xdr:row>
      <xdr:rowOff>935440</xdr:rowOff>
    </xdr:to>
    <xdr:pic>
      <xdr:nvPicPr>
        <xdr:cNvPr id="35" name="圖片 189" descr="畫面剪輯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2172" y="248601139"/>
          <a:ext cx="816428" cy="812976"/>
        </a:xfrm>
        <a:prstGeom prst="rect">
          <a:avLst/>
        </a:prstGeom>
      </xdr:spPr>
    </xdr:pic>
    <xdr:clientData/>
  </xdr:twoCellAnchor>
  <xdr:twoCellAnchor>
    <xdr:from>
      <xdr:col>2</xdr:col>
      <xdr:colOff>188232</xdr:colOff>
      <xdr:row>30</xdr:row>
      <xdr:rowOff>127000</xdr:rowOff>
    </xdr:from>
    <xdr:to>
      <xdr:col>2</xdr:col>
      <xdr:colOff>917180</xdr:colOff>
      <xdr:row>30</xdr:row>
      <xdr:rowOff>916215</xdr:rowOff>
    </xdr:to>
    <xdr:pic>
      <xdr:nvPicPr>
        <xdr:cNvPr id="36" name="圖片 34" descr="畫面剪輯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132" y="30702250"/>
          <a:ext cx="728948" cy="789215"/>
        </a:xfrm>
        <a:prstGeom prst="rect">
          <a:avLst/>
        </a:prstGeom>
      </xdr:spPr>
    </xdr:pic>
    <xdr:clientData/>
  </xdr:twoCellAnchor>
  <xdr:twoCellAnchor>
    <xdr:from>
      <xdr:col>2</xdr:col>
      <xdr:colOff>244928</xdr:colOff>
      <xdr:row>32</xdr:row>
      <xdr:rowOff>108857</xdr:rowOff>
    </xdr:from>
    <xdr:to>
      <xdr:col>2</xdr:col>
      <xdr:colOff>898070</xdr:colOff>
      <xdr:row>32</xdr:row>
      <xdr:rowOff>880879</xdr:rowOff>
    </xdr:to>
    <xdr:pic>
      <xdr:nvPicPr>
        <xdr:cNvPr id="37" name="圖片 33" descr="畫面剪輯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778" y="256664732"/>
          <a:ext cx="653142" cy="772022"/>
        </a:xfrm>
        <a:prstGeom prst="rect">
          <a:avLst/>
        </a:prstGeom>
      </xdr:spPr>
    </xdr:pic>
    <xdr:clientData/>
  </xdr:twoCellAnchor>
  <xdr:twoCellAnchor>
    <xdr:from>
      <xdr:col>2</xdr:col>
      <xdr:colOff>244929</xdr:colOff>
      <xdr:row>33</xdr:row>
      <xdr:rowOff>81643</xdr:rowOff>
    </xdr:from>
    <xdr:to>
      <xdr:col>2</xdr:col>
      <xdr:colOff>921204</xdr:colOff>
      <xdr:row>33</xdr:row>
      <xdr:rowOff>881743</xdr:rowOff>
    </xdr:to>
    <xdr:pic>
      <xdr:nvPicPr>
        <xdr:cNvPr id="38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5779" y="259666468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244929</xdr:colOff>
      <xdr:row>36</xdr:row>
      <xdr:rowOff>81643</xdr:rowOff>
    </xdr:from>
    <xdr:to>
      <xdr:col>2</xdr:col>
      <xdr:colOff>921204</xdr:colOff>
      <xdr:row>36</xdr:row>
      <xdr:rowOff>881743</xdr:rowOff>
    </xdr:to>
    <xdr:pic>
      <xdr:nvPicPr>
        <xdr:cNvPr id="39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5779" y="260676118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244929</xdr:colOff>
      <xdr:row>39</xdr:row>
      <xdr:rowOff>81643</xdr:rowOff>
    </xdr:from>
    <xdr:to>
      <xdr:col>2</xdr:col>
      <xdr:colOff>921204</xdr:colOff>
      <xdr:row>39</xdr:row>
      <xdr:rowOff>881743</xdr:rowOff>
    </xdr:to>
    <xdr:pic>
      <xdr:nvPicPr>
        <xdr:cNvPr id="40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5779" y="263705068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244929</xdr:colOff>
      <xdr:row>38</xdr:row>
      <xdr:rowOff>81643</xdr:rowOff>
    </xdr:from>
    <xdr:to>
      <xdr:col>2</xdr:col>
      <xdr:colOff>921204</xdr:colOff>
      <xdr:row>38</xdr:row>
      <xdr:rowOff>881743</xdr:rowOff>
    </xdr:to>
    <xdr:pic>
      <xdr:nvPicPr>
        <xdr:cNvPr id="41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5779" y="262695418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244929</xdr:colOff>
      <xdr:row>37</xdr:row>
      <xdr:rowOff>81643</xdr:rowOff>
    </xdr:from>
    <xdr:to>
      <xdr:col>2</xdr:col>
      <xdr:colOff>921204</xdr:colOff>
      <xdr:row>37</xdr:row>
      <xdr:rowOff>881743</xdr:rowOff>
    </xdr:to>
    <xdr:pic>
      <xdr:nvPicPr>
        <xdr:cNvPr id="42" name="圖片 184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5779" y="261685768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34</xdr:row>
      <xdr:rowOff>85725</xdr:rowOff>
    </xdr:from>
    <xdr:to>
      <xdr:col>2</xdr:col>
      <xdr:colOff>857250</xdr:colOff>
      <xdr:row>34</xdr:row>
      <xdr:rowOff>885825</xdr:rowOff>
    </xdr:to>
    <xdr:pic>
      <xdr:nvPicPr>
        <xdr:cNvPr id="43" name="圖片 1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81825" y="2166937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35</xdr:row>
      <xdr:rowOff>85725</xdr:rowOff>
    </xdr:from>
    <xdr:to>
      <xdr:col>2</xdr:col>
      <xdr:colOff>857250</xdr:colOff>
      <xdr:row>35</xdr:row>
      <xdr:rowOff>885825</xdr:rowOff>
    </xdr:to>
    <xdr:pic>
      <xdr:nvPicPr>
        <xdr:cNvPr id="44" name="圖片 182" descr="畫面剪輯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81825" y="61864875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114957</xdr:colOff>
      <xdr:row>40</xdr:row>
      <xdr:rowOff>82112</xdr:rowOff>
    </xdr:from>
    <xdr:to>
      <xdr:col>2</xdr:col>
      <xdr:colOff>903232</xdr:colOff>
      <xdr:row>40</xdr:row>
      <xdr:rowOff>870387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5807" y="414895862"/>
          <a:ext cx="788275" cy="78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41</xdr:row>
      <xdr:rowOff>85725</xdr:rowOff>
    </xdr:from>
    <xdr:to>
      <xdr:col>2</xdr:col>
      <xdr:colOff>866775</xdr:colOff>
      <xdr:row>41</xdr:row>
      <xdr:rowOff>838200</xdr:rowOff>
    </xdr:to>
    <xdr:pic>
      <xdr:nvPicPr>
        <xdr:cNvPr id="46" name="圖片 2" descr="畫面剪輯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3075" y="3040951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43</xdr:row>
      <xdr:rowOff>104775</xdr:rowOff>
    </xdr:from>
    <xdr:to>
      <xdr:col>2</xdr:col>
      <xdr:colOff>895350</xdr:colOff>
      <xdr:row>43</xdr:row>
      <xdr:rowOff>857250</xdr:rowOff>
    </xdr:to>
    <xdr:pic>
      <xdr:nvPicPr>
        <xdr:cNvPr id="47" name="圖片 187" descr="畫面剪輯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306133500"/>
          <a:ext cx="657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42</xdr:row>
      <xdr:rowOff>104775</xdr:rowOff>
    </xdr:from>
    <xdr:to>
      <xdr:col>2</xdr:col>
      <xdr:colOff>895350</xdr:colOff>
      <xdr:row>42</xdr:row>
      <xdr:rowOff>857250</xdr:rowOff>
    </xdr:to>
    <xdr:pic>
      <xdr:nvPicPr>
        <xdr:cNvPr id="48" name="圖片 187" descr="畫面剪輯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305123850"/>
          <a:ext cx="657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762000</xdr:colOff>
      <xdr:row>45</xdr:row>
      <xdr:rowOff>104775</xdr:rowOff>
    </xdr:from>
    <xdr:to>
      <xdr:col>2</xdr:col>
      <xdr:colOff>1162050</xdr:colOff>
      <xdr:row>45</xdr:row>
      <xdr:rowOff>866775</xdr:rowOff>
    </xdr:to>
    <xdr:pic>
      <xdr:nvPicPr>
        <xdr:cNvPr id="50" name="Picture 10384" descr="NK171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25050" y="10868025"/>
          <a:ext cx="4000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44</xdr:row>
      <xdr:rowOff>104775</xdr:rowOff>
    </xdr:from>
    <xdr:to>
      <xdr:col>2</xdr:col>
      <xdr:colOff>895350</xdr:colOff>
      <xdr:row>44</xdr:row>
      <xdr:rowOff>857250</xdr:rowOff>
    </xdr:to>
    <xdr:pic>
      <xdr:nvPicPr>
        <xdr:cNvPr id="51" name="圖片 188" descr="畫面剪輯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30680025"/>
          <a:ext cx="657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46</xdr:row>
      <xdr:rowOff>114300</xdr:rowOff>
    </xdr:from>
    <xdr:to>
      <xdr:col>2</xdr:col>
      <xdr:colOff>971550</xdr:colOff>
      <xdr:row>46</xdr:row>
      <xdr:rowOff>914400</xdr:rowOff>
    </xdr:to>
    <xdr:pic>
      <xdr:nvPicPr>
        <xdr:cNvPr id="52" name="圖片 12" descr="畫面剪輯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91650" y="20122515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129886</xdr:colOff>
      <xdr:row>47</xdr:row>
      <xdr:rowOff>57727</xdr:rowOff>
    </xdr:from>
    <xdr:to>
      <xdr:col>2</xdr:col>
      <xdr:colOff>1168977</xdr:colOff>
      <xdr:row>47</xdr:row>
      <xdr:rowOff>994696</xdr:rowOff>
    </xdr:to>
    <xdr:pic>
      <xdr:nvPicPr>
        <xdr:cNvPr id="53" name="圖片 718" descr="畫面剪輯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2936" y="244497802"/>
          <a:ext cx="1039091" cy="936969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49</xdr:row>
      <xdr:rowOff>108857</xdr:rowOff>
    </xdr:from>
    <xdr:to>
      <xdr:col>2</xdr:col>
      <xdr:colOff>1009650</xdr:colOff>
      <xdr:row>49</xdr:row>
      <xdr:rowOff>928007</xdr:rowOff>
    </xdr:to>
    <xdr:pic>
      <xdr:nvPicPr>
        <xdr:cNvPr id="54" name="圖片 1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268780532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54</xdr:row>
      <xdr:rowOff>108857</xdr:rowOff>
    </xdr:from>
    <xdr:to>
      <xdr:col>2</xdr:col>
      <xdr:colOff>1009650</xdr:colOff>
      <xdr:row>54</xdr:row>
      <xdr:rowOff>928007</xdr:rowOff>
    </xdr:to>
    <xdr:pic>
      <xdr:nvPicPr>
        <xdr:cNvPr id="55" name="圖片 1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269790182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55</xdr:row>
      <xdr:rowOff>108857</xdr:rowOff>
    </xdr:from>
    <xdr:to>
      <xdr:col>2</xdr:col>
      <xdr:colOff>1009650</xdr:colOff>
      <xdr:row>55</xdr:row>
      <xdr:rowOff>928007</xdr:rowOff>
    </xdr:to>
    <xdr:pic>
      <xdr:nvPicPr>
        <xdr:cNvPr id="56" name="圖片 1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270799832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134155</xdr:colOff>
      <xdr:row>53</xdr:row>
      <xdr:rowOff>93909</xdr:rowOff>
    </xdr:from>
    <xdr:to>
      <xdr:col>2</xdr:col>
      <xdr:colOff>953305</xdr:colOff>
      <xdr:row>53</xdr:row>
      <xdr:rowOff>913059</xdr:rowOff>
    </xdr:to>
    <xdr:pic>
      <xdr:nvPicPr>
        <xdr:cNvPr id="57" name="圖片 1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7205" y="267755934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51</xdr:row>
      <xdr:rowOff>104775</xdr:rowOff>
    </xdr:from>
    <xdr:to>
      <xdr:col>2</xdr:col>
      <xdr:colOff>962025</xdr:colOff>
      <xdr:row>51</xdr:row>
      <xdr:rowOff>923925</xdr:rowOff>
    </xdr:to>
    <xdr:pic>
      <xdr:nvPicPr>
        <xdr:cNvPr id="58" name="圖片 1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05925" y="4289107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52</xdr:row>
      <xdr:rowOff>104775</xdr:rowOff>
    </xdr:from>
    <xdr:to>
      <xdr:col>2</xdr:col>
      <xdr:colOff>962025</xdr:colOff>
      <xdr:row>52</xdr:row>
      <xdr:rowOff>923925</xdr:rowOff>
    </xdr:to>
    <xdr:pic>
      <xdr:nvPicPr>
        <xdr:cNvPr id="59" name="圖片 1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05925" y="459200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50</xdr:row>
      <xdr:rowOff>104775</xdr:rowOff>
    </xdr:from>
    <xdr:to>
      <xdr:col>2</xdr:col>
      <xdr:colOff>990600</xdr:colOff>
      <xdr:row>50</xdr:row>
      <xdr:rowOff>923925</xdr:rowOff>
    </xdr:to>
    <xdr:pic>
      <xdr:nvPicPr>
        <xdr:cNvPr id="60" name="圖片 1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0" y="681323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58</xdr:row>
      <xdr:rowOff>76200</xdr:rowOff>
    </xdr:from>
    <xdr:to>
      <xdr:col>2</xdr:col>
      <xdr:colOff>895350</xdr:colOff>
      <xdr:row>58</xdr:row>
      <xdr:rowOff>866775</xdr:rowOff>
    </xdr:to>
    <xdr:pic>
      <xdr:nvPicPr>
        <xdr:cNvPr id="61" name="圖片 2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741616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59</xdr:row>
      <xdr:rowOff>104775</xdr:rowOff>
    </xdr:from>
    <xdr:to>
      <xdr:col>2</xdr:col>
      <xdr:colOff>1028700</xdr:colOff>
      <xdr:row>59</xdr:row>
      <xdr:rowOff>895350</xdr:rowOff>
    </xdr:to>
    <xdr:pic>
      <xdr:nvPicPr>
        <xdr:cNvPr id="62" name="圖片 2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8024812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56</xdr:row>
      <xdr:rowOff>152400</xdr:rowOff>
    </xdr:from>
    <xdr:to>
      <xdr:col>2</xdr:col>
      <xdr:colOff>1028700</xdr:colOff>
      <xdr:row>56</xdr:row>
      <xdr:rowOff>942975</xdr:rowOff>
    </xdr:to>
    <xdr:pic>
      <xdr:nvPicPr>
        <xdr:cNvPr id="63" name="圖片 2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1418844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57</xdr:row>
      <xdr:rowOff>76200</xdr:rowOff>
    </xdr:from>
    <xdr:to>
      <xdr:col>2</xdr:col>
      <xdr:colOff>895350</xdr:colOff>
      <xdr:row>57</xdr:row>
      <xdr:rowOff>866775</xdr:rowOff>
    </xdr:to>
    <xdr:pic>
      <xdr:nvPicPr>
        <xdr:cNvPr id="64" name="圖片 2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479107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48</xdr:row>
      <xdr:rowOff>85725</xdr:rowOff>
    </xdr:from>
    <xdr:to>
      <xdr:col>2</xdr:col>
      <xdr:colOff>1057275</xdr:colOff>
      <xdr:row>48</xdr:row>
      <xdr:rowOff>942975</xdr:rowOff>
    </xdr:to>
    <xdr:pic>
      <xdr:nvPicPr>
        <xdr:cNvPr id="65" name="圖片 8" descr="畫面剪輯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4500" y="99221925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llercentral.amazon.com/skucentral?mSku=UNYCB026&amp;ref=myi_skuc_itemdetails" TargetMode="External"/><Relationship Id="rId13" Type="http://schemas.openxmlformats.org/officeDocument/2006/relationships/hyperlink" Target="https://sellercentral.amazon.com/skucentral?mSku=UNYCB011BL1&amp;ref=myi_skuc" TargetMode="External"/><Relationship Id="rId18" Type="http://schemas.openxmlformats.org/officeDocument/2006/relationships/hyperlink" Target="https://sellercentral.amazon.com/skucentral?mSku=BD-RBMT-4S5P&amp;ref=myi_skuc_itemdetails" TargetMode="External"/><Relationship Id="rId26" Type="http://schemas.openxmlformats.org/officeDocument/2006/relationships/hyperlink" Target="https://sellercentral.amazon.com/skucentral?mSku=TY-5LFW-7M0O&amp;ref=myi_skuc_itemdetails" TargetMode="External"/><Relationship Id="rId3" Type="http://schemas.openxmlformats.org/officeDocument/2006/relationships/hyperlink" Target="https://sellercentral.amazon.com/skucentral?mSku=7T-GBK3-JLVF&amp;ref=myi_skuc" TargetMode="External"/><Relationship Id="rId21" Type="http://schemas.openxmlformats.org/officeDocument/2006/relationships/hyperlink" Target="https://sellercentral.amazon.com/skucentral?mSku=1U-WJWA-4K0V&amp;ref=myi_skuc_itemdetails" TargetMode="External"/><Relationship Id="rId34" Type="http://schemas.openxmlformats.org/officeDocument/2006/relationships/hyperlink" Target="https://sellercentral.amazon.com/skucentral?mSku=WJ-8NIG-T65H&amp;ref=myi_skuc" TargetMode="External"/><Relationship Id="rId7" Type="http://schemas.openxmlformats.org/officeDocument/2006/relationships/hyperlink" Target="https://sellercentral.amazon.com/skucentral?mSku=UNYCN001&amp;ref=myi_skuc" TargetMode="External"/><Relationship Id="rId12" Type="http://schemas.openxmlformats.org/officeDocument/2006/relationships/hyperlink" Target="https://sellercentral.amazon.com/skucentral?mSku=UNYCB0102TCL1&amp;ref=myi_skuc" TargetMode="External"/><Relationship Id="rId17" Type="http://schemas.openxmlformats.org/officeDocument/2006/relationships/hyperlink" Target="https://sellercentral.amazon.com/skucentral?mSku=NF-2D5Z-E963&amp;ref=myi_skuc_itemdetails" TargetMode="External"/><Relationship Id="rId25" Type="http://schemas.openxmlformats.org/officeDocument/2006/relationships/hyperlink" Target="https://sellercentral.amazon.com/skucentral?mSku=KC-OTYL-98KC&amp;ref=myi_skuc_itemdetails" TargetMode="External"/><Relationship Id="rId33" Type="http://schemas.openxmlformats.org/officeDocument/2006/relationships/hyperlink" Target="https://sellercentral.amazon.com/skucentral?mSku=R7-MU2L-SG3M&amp;ref=myi_skuc" TargetMode="External"/><Relationship Id="rId2" Type="http://schemas.openxmlformats.org/officeDocument/2006/relationships/hyperlink" Target="https://sellercentral.amazon.com/skucentral?mSku=96-NWEH-IUB9&amp;ref=myi_skuc" TargetMode="External"/><Relationship Id="rId16" Type="http://schemas.openxmlformats.org/officeDocument/2006/relationships/hyperlink" Target="https://sellercentral.amazon.com/skucentral?mSku=UNYWSB002BLK-650&amp;ref=myi_skuc_itemdetails" TargetMode="External"/><Relationship Id="rId20" Type="http://schemas.openxmlformats.org/officeDocument/2006/relationships/hyperlink" Target="https://sellercentral.amazon.com/skucentral?mSku=9D-IAB9-911R&amp;ref=myi_skuc_itemdetails" TargetMode="External"/><Relationship Id="rId29" Type="http://schemas.openxmlformats.org/officeDocument/2006/relationships/hyperlink" Target="https://sellercentral.amazon.com/skucentral?mSku=C8-4399-VBOM&amp;ref=myi_skuc_itemdetails" TargetMode="External"/><Relationship Id="rId1" Type="http://schemas.openxmlformats.org/officeDocument/2006/relationships/hyperlink" Target="https://sellercentral.amazon.com/skucentral?mSku=YR-9P6P-CRPM&amp;ref=myi_skuc_itemdetails" TargetMode="External"/><Relationship Id="rId6" Type="http://schemas.openxmlformats.org/officeDocument/2006/relationships/hyperlink" Target="https://sellercentral.amazon.com/skucentral?mSku=UNYCB3002S&amp;ref=myi_skuc" TargetMode="External"/><Relationship Id="rId11" Type="http://schemas.openxmlformats.org/officeDocument/2006/relationships/hyperlink" Target="https://sellercentral.amazon.com/skucentral?mSku=UNYCB008PK1&amp;ref=myi_skuc" TargetMode="External"/><Relationship Id="rId24" Type="http://schemas.openxmlformats.org/officeDocument/2006/relationships/hyperlink" Target="https://sellercentral.amazon.com/skucentral?mSku=17-GUTU-IU6D&amp;ref=myi_skuc_itemdetails" TargetMode="External"/><Relationship Id="rId32" Type="http://schemas.openxmlformats.org/officeDocument/2006/relationships/hyperlink" Target="https://sellercentral.amazon.com/skucentral?mSku=1K-FF4S-W8YM&amp;ref=myi_skuc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sellercentral.amazon.com/skucentral?mSku=UNYCB3002G&amp;ref=myi_skuc" TargetMode="External"/><Relationship Id="rId15" Type="http://schemas.openxmlformats.org/officeDocument/2006/relationships/hyperlink" Target="https://sellercentral.amazon.com/skucentral?mSku=UNYWSB002B-650&amp;ref=myi_skuc_itemdetails" TargetMode="External"/><Relationship Id="rId23" Type="http://schemas.openxmlformats.org/officeDocument/2006/relationships/hyperlink" Target="https://sellercentral.amazon.com/skucentral?mSku=B3-WQ27-20R9&amp;ref=myi_skuc_itemdetails" TargetMode="External"/><Relationship Id="rId28" Type="http://schemas.openxmlformats.org/officeDocument/2006/relationships/hyperlink" Target="https://sellercentral.amazon.com/skucentral?mSku=C9-GTF7-X70R&amp;ref=myi_skuc_itemdetails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ellercentral.amazon.com/skucentral?mSku=UNYCB028&amp;ref=myi_skuc_itemdetails" TargetMode="External"/><Relationship Id="rId19" Type="http://schemas.openxmlformats.org/officeDocument/2006/relationships/hyperlink" Target="https://sellercentral.amazon.com/skucentral?mSku=YE-VP9Z-WM13&amp;ref=myi_skuc_itemdetails" TargetMode="External"/><Relationship Id="rId31" Type="http://schemas.openxmlformats.org/officeDocument/2006/relationships/hyperlink" Target="https://sellercentral.amazon.com/skucentral?mSku=17-LTEC-AXSL&amp;ref=myi_skuc" TargetMode="External"/><Relationship Id="rId4" Type="http://schemas.openxmlformats.org/officeDocument/2006/relationships/hyperlink" Target="https://sellercentral.amazon.com/skucentral?mSku=UNYCB30022T&amp;ref=myi_skuc" TargetMode="External"/><Relationship Id="rId9" Type="http://schemas.openxmlformats.org/officeDocument/2006/relationships/hyperlink" Target="https://sellercentral.amazon.com/skucentral?mSku=UNYCB027&amp;ref=myi_skuc_itemdetails" TargetMode="External"/><Relationship Id="rId14" Type="http://schemas.openxmlformats.org/officeDocument/2006/relationships/hyperlink" Target="https://sellercentral.amazon.com/skucentral?mSku=UNYCB015BL1&amp;ref=myi_skuc_itemdetails" TargetMode="External"/><Relationship Id="rId22" Type="http://schemas.openxmlformats.org/officeDocument/2006/relationships/hyperlink" Target="https://sellercentral.amazon.com/skucentral?mSku=1R-EHH7-VHJ1&amp;ref=myi_skuc_itemdetails" TargetMode="External"/><Relationship Id="rId27" Type="http://schemas.openxmlformats.org/officeDocument/2006/relationships/hyperlink" Target="https://sellercentral.amazon.com/skucentral?mSku=0Q-DQ6C-IWY3&amp;ref=myi_skuc_itemdetails" TargetMode="External"/><Relationship Id="rId30" Type="http://schemas.openxmlformats.org/officeDocument/2006/relationships/hyperlink" Target="https://sellercentral.amazon.com/skucentral?mSku=F6-WE61-I4XS&amp;ref=myi_skuc_itemdetails" TargetMode="External"/><Relationship Id="rId35" Type="http://schemas.openxmlformats.org/officeDocument/2006/relationships/hyperlink" Target="https://sellercentral.amazon.com/skucentral?mSku=KY-EMY1-473J&amp;ref=myi_sku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sellercentral.amazon.com/skucentral?mSku=UNYCB30022T&amp;ref=myi_sku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X506"/>
  <sheetViews>
    <sheetView tabSelected="1" zoomScale="66" zoomScaleNormal="66" workbookViewId="0">
      <pane ySplit="1" topLeftCell="A445" activePane="bottomLeft" state="frozen"/>
      <selection pane="bottomLeft" activeCell="A452" sqref="A452"/>
    </sheetView>
  </sheetViews>
  <sheetFormatPr defaultColWidth="9" defaultRowHeight="18" outlineLevelCol="2"/>
  <cols>
    <col min="1" max="1" width="32.5" style="128" customWidth="1"/>
    <col min="2" max="2" width="10.125" style="123" customWidth="1"/>
    <col min="3" max="3" width="31.375" style="79" bestFit="1" customWidth="1"/>
    <col min="4" max="4" width="20.125" style="91" customWidth="1"/>
    <col min="5" max="5" width="18.5" style="91" customWidth="1"/>
    <col min="6" max="6" width="20.875" style="122" customWidth="1" outlineLevel="1"/>
    <col min="7" max="7" width="27.125" style="51" customWidth="1"/>
    <col min="8" max="8" width="16.125" style="51" hidden="1" customWidth="1"/>
    <col min="9" max="9" width="9" style="23" hidden="1" customWidth="1"/>
    <col min="10" max="14" width="8.25" style="30" hidden="1" customWidth="1" outlineLevel="2"/>
    <col min="15" max="17" width="8.625" style="30" hidden="1" customWidth="1" outlineLevel="2"/>
    <col min="18" max="19" width="6.875" style="30" hidden="1" customWidth="1" outlineLevel="2"/>
    <col min="20" max="21" width="8" style="30" hidden="1" customWidth="1" outlineLevel="2"/>
    <col min="22" max="25" width="8.625" style="30" hidden="1" customWidth="1" outlineLevel="2"/>
    <col min="26" max="26" width="8.625" style="30" customWidth="1" outlineLevel="1" collapsed="1"/>
    <col min="27" max="36" width="8.625" style="30" customWidth="1" outlineLevel="1"/>
    <col min="37" max="69" width="9" style="30"/>
    <col min="70" max="16384" width="9" style="23"/>
  </cols>
  <sheetData>
    <row r="1" spans="1:36" ht="60" customHeight="1">
      <c r="A1" s="124"/>
      <c r="B1" s="69" t="s">
        <v>1050</v>
      </c>
      <c r="C1" s="70" t="s">
        <v>1</v>
      </c>
      <c r="D1" s="71" t="s">
        <v>0</v>
      </c>
      <c r="E1" s="72" t="s">
        <v>1420</v>
      </c>
      <c r="F1" s="73" t="s">
        <v>1421</v>
      </c>
      <c r="G1" s="22" t="s">
        <v>2</v>
      </c>
      <c r="H1" s="22"/>
      <c r="J1" s="24">
        <v>44541</v>
      </c>
      <c r="K1" s="24">
        <v>44542</v>
      </c>
      <c r="L1" s="24">
        <v>44545</v>
      </c>
      <c r="M1" s="24">
        <v>44547</v>
      </c>
      <c r="N1" s="24">
        <v>44550</v>
      </c>
      <c r="O1" s="24">
        <v>44553</v>
      </c>
      <c r="P1" s="24">
        <v>44554</v>
      </c>
      <c r="Q1" s="24">
        <v>44558</v>
      </c>
      <c r="R1" s="24">
        <v>44564</v>
      </c>
      <c r="S1" s="24">
        <v>44567</v>
      </c>
      <c r="T1" s="24">
        <v>44571</v>
      </c>
      <c r="U1" s="24">
        <v>44575</v>
      </c>
      <c r="V1" s="24">
        <v>44579</v>
      </c>
      <c r="W1" s="24">
        <v>44599</v>
      </c>
      <c r="X1" s="24">
        <v>44606</v>
      </c>
      <c r="Y1" s="24">
        <v>44610</v>
      </c>
      <c r="Z1" s="24">
        <v>44613</v>
      </c>
      <c r="AA1" s="24">
        <v>44620</v>
      </c>
      <c r="AB1" s="24">
        <v>44627</v>
      </c>
      <c r="AC1" s="24">
        <v>44634</v>
      </c>
      <c r="AD1" s="24">
        <v>44641</v>
      </c>
      <c r="AE1" s="24">
        <v>44648</v>
      </c>
      <c r="AF1" s="24">
        <v>44657</v>
      </c>
      <c r="AG1" s="24">
        <v>44662</v>
      </c>
      <c r="AH1" s="24">
        <v>44669</v>
      </c>
      <c r="AI1" s="24">
        <v>44672</v>
      </c>
      <c r="AJ1" s="24">
        <v>44676</v>
      </c>
    </row>
    <row r="2" spans="1:36" ht="80.099999999999994" customHeight="1">
      <c r="A2" s="122" t="s">
        <v>3</v>
      </c>
      <c r="B2" s="74"/>
      <c r="C2" s="75" t="s">
        <v>6</v>
      </c>
      <c r="D2" s="58" t="s">
        <v>5</v>
      </c>
      <c r="E2" s="76"/>
      <c r="F2" s="77" t="s">
        <v>7</v>
      </c>
      <c r="G2" s="25"/>
      <c r="H2" s="25"/>
      <c r="J2" s="30">
        <v>4</v>
      </c>
      <c r="K2" s="30">
        <v>4</v>
      </c>
      <c r="L2" s="30">
        <v>4</v>
      </c>
      <c r="M2" s="30">
        <v>4</v>
      </c>
      <c r="N2" s="30">
        <v>4</v>
      </c>
      <c r="O2" s="30">
        <v>4</v>
      </c>
      <c r="P2" s="30">
        <v>4</v>
      </c>
      <c r="Q2" s="30">
        <v>4</v>
      </c>
      <c r="R2" s="30">
        <v>4</v>
      </c>
      <c r="S2" s="30">
        <v>4</v>
      </c>
      <c r="T2" s="30">
        <f>3+1</f>
        <v>4</v>
      </c>
      <c r="U2" s="30">
        <v>3</v>
      </c>
      <c r="V2" s="30">
        <v>3</v>
      </c>
      <c r="W2" s="30">
        <v>3</v>
      </c>
      <c r="X2" s="30">
        <v>3</v>
      </c>
      <c r="Y2" s="30">
        <v>3</v>
      </c>
      <c r="Z2" s="30">
        <v>3</v>
      </c>
      <c r="AA2" s="30">
        <v>3</v>
      </c>
      <c r="AB2" s="30">
        <v>3</v>
      </c>
      <c r="AC2" s="30">
        <v>3</v>
      </c>
      <c r="AD2" s="30">
        <v>3</v>
      </c>
      <c r="AE2" s="30">
        <v>3</v>
      </c>
      <c r="AF2" s="30">
        <v>3</v>
      </c>
      <c r="AG2" s="30">
        <v>3</v>
      </c>
      <c r="AH2" s="30">
        <v>3</v>
      </c>
      <c r="AI2" s="30">
        <v>3</v>
      </c>
      <c r="AJ2" s="30">
        <v>3</v>
      </c>
    </row>
    <row r="3" spans="1:36" ht="80.099999999999994" customHeight="1">
      <c r="A3" s="122" t="s">
        <v>8</v>
      </c>
      <c r="B3" s="74" t="s">
        <v>1061</v>
      </c>
      <c r="C3" s="78" t="s">
        <v>10</v>
      </c>
      <c r="D3" s="58" t="s">
        <v>9</v>
      </c>
      <c r="E3" s="76">
        <v>8</v>
      </c>
      <c r="F3" s="77" t="s">
        <v>11</v>
      </c>
      <c r="G3" s="25"/>
      <c r="H3" s="25"/>
      <c r="J3" s="30">
        <v>4</v>
      </c>
      <c r="K3" s="30">
        <v>4</v>
      </c>
      <c r="L3" s="30">
        <v>4</v>
      </c>
      <c r="M3" s="30">
        <v>4</v>
      </c>
      <c r="N3" s="30">
        <v>4</v>
      </c>
      <c r="O3" s="30">
        <v>4</v>
      </c>
      <c r="P3" s="30">
        <v>4</v>
      </c>
      <c r="Q3" s="30">
        <v>4</v>
      </c>
      <c r="R3" s="30">
        <f>3</f>
        <v>3</v>
      </c>
      <c r="S3" s="30">
        <v>4</v>
      </c>
      <c r="T3" s="30">
        <v>3</v>
      </c>
      <c r="U3" s="30">
        <v>3</v>
      </c>
      <c r="V3" s="30">
        <v>3</v>
      </c>
      <c r="W3" s="30">
        <v>3</v>
      </c>
      <c r="X3" s="30">
        <v>3</v>
      </c>
      <c r="Y3" s="30">
        <v>3</v>
      </c>
      <c r="Z3" s="30">
        <v>3</v>
      </c>
      <c r="AA3" s="30">
        <v>3</v>
      </c>
      <c r="AB3" s="30">
        <v>3</v>
      </c>
      <c r="AC3" s="30">
        <v>3</v>
      </c>
      <c r="AD3" s="30">
        <v>3</v>
      </c>
      <c r="AE3" s="30">
        <v>3</v>
      </c>
      <c r="AF3" s="30">
        <v>3</v>
      </c>
      <c r="AG3" s="30">
        <v>3</v>
      </c>
      <c r="AH3" s="30">
        <v>3</v>
      </c>
      <c r="AI3" s="30">
        <v>3</v>
      </c>
      <c r="AJ3" s="30">
        <v>3</v>
      </c>
    </row>
    <row r="4" spans="1:36" ht="80.099999999999994" customHeight="1">
      <c r="A4" s="125" t="s">
        <v>8</v>
      </c>
      <c r="B4" s="79" t="s">
        <v>1061</v>
      </c>
      <c r="C4" s="78" t="s">
        <v>911</v>
      </c>
      <c r="D4" s="58" t="s">
        <v>12</v>
      </c>
      <c r="E4" s="76">
        <v>8</v>
      </c>
      <c r="F4" s="77" t="s">
        <v>13</v>
      </c>
      <c r="G4" s="25"/>
      <c r="H4" s="25"/>
      <c r="J4" s="30">
        <v>9</v>
      </c>
      <c r="K4" s="30">
        <f>7</f>
        <v>7</v>
      </c>
      <c r="L4" s="30">
        <f>5+1</f>
        <v>6</v>
      </c>
      <c r="M4" s="30">
        <v>5</v>
      </c>
      <c r="N4" s="30">
        <f>3+5</f>
        <v>8</v>
      </c>
      <c r="O4" s="30">
        <f>1+5+1</f>
        <v>7</v>
      </c>
      <c r="P4" s="30">
        <v>7</v>
      </c>
      <c r="Q4" s="30">
        <f>2+5</f>
        <v>7</v>
      </c>
      <c r="R4" s="30">
        <f>0+5</f>
        <v>5</v>
      </c>
      <c r="S4" s="30">
        <f>0+5</f>
        <v>5</v>
      </c>
      <c r="T4" s="30">
        <f>2+5+1</f>
        <v>8</v>
      </c>
      <c r="U4" s="30">
        <f>2+5+1</f>
        <v>8</v>
      </c>
      <c r="V4" s="30">
        <f>7+10</f>
        <v>17</v>
      </c>
      <c r="W4" s="30">
        <v>10</v>
      </c>
      <c r="X4" s="30">
        <f>9+10</f>
        <v>19</v>
      </c>
      <c r="Y4" s="30">
        <v>18</v>
      </c>
      <c r="Z4" s="30">
        <v>17</v>
      </c>
      <c r="AA4" s="30">
        <f>14+0</f>
        <v>14</v>
      </c>
      <c r="AB4" s="30">
        <f>11+1</f>
        <v>12</v>
      </c>
      <c r="AC4" s="30">
        <v>10</v>
      </c>
      <c r="AD4" s="30">
        <f>7+1+10</f>
        <v>18</v>
      </c>
      <c r="AE4" s="30">
        <f>10+7</f>
        <v>17</v>
      </c>
      <c r="AF4" s="30">
        <v>18</v>
      </c>
      <c r="AG4" s="30">
        <v>18</v>
      </c>
      <c r="AH4" s="30">
        <f>16</f>
        <v>16</v>
      </c>
      <c r="AI4" s="30">
        <v>17</v>
      </c>
      <c r="AJ4" s="30">
        <v>16</v>
      </c>
    </row>
    <row r="5" spans="1:36" ht="80.099999999999994" customHeight="1">
      <c r="A5" s="122" t="s">
        <v>1409</v>
      </c>
      <c r="B5" s="74" t="s">
        <v>1410</v>
      </c>
      <c r="C5" s="75" t="s">
        <v>1171</v>
      </c>
      <c r="D5" s="56" t="s">
        <v>1170</v>
      </c>
      <c r="E5" s="80"/>
      <c r="F5" s="81" t="s">
        <v>1200</v>
      </c>
      <c r="G5" s="23"/>
      <c r="H5" s="25"/>
      <c r="I5" s="49"/>
      <c r="AI5" s="30">
        <v>0</v>
      </c>
      <c r="AJ5" s="30">
        <f>0+5</f>
        <v>5</v>
      </c>
    </row>
    <row r="6" spans="1:36" ht="80.099999999999994" customHeight="1">
      <c r="A6" s="125" t="s">
        <v>3</v>
      </c>
      <c r="B6" s="79"/>
      <c r="C6" s="75" t="s">
        <v>15</v>
      </c>
      <c r="D6" s="58" t="s">
        <v>14</v>
      </c>
      <c r="E6" s="76"/>
      <c r="F6" s="77" t="s">
        <v>16</v>
      </c>
      <c r="G6" s="25"/>
      <c r="H6" s="25"/>
      <c r="J6" s="30">
        <f>3+1</f>
        <v>4</v>
      </c>
      <c r="K6" s="30">
        <v>4</v>
      </c>
      <c r="L6" s="30">
        <v>4</v>
      </c>
      <c r="M6" s="30">
        <v>4</v>
      </c>
      <c r="N6" s="30">
        <v>4</v>
      </c>
      <c r="O6" s="30">
        <v>4</v>
      </c>
      <c r="P6" s="30">
        <v>4</v>
      </c>
      <c r="Q6" s="30">
        <v>4</v>
      </c>
      <c r="R6" s="30">
        <v>4</v>
      </c>
      <c r="S6" s="30">
        <v>4</v>
      </c>
      <c r="T6" s="30">
        <v>4</v>
      </c>
      <c r="U6" s="30">
        <v>4</v>
      </c>
      <c r="V6" s="30">
        <v>4</v>
      </c>
      <c r="W6" s="30">
        <f>1+1</f>
        <v>2</v>
      </c>
      <c r="X6" s="30">
        <v>2</v>
      </c>
      <c r="Y6" s="30">
        <v>2</v>
      </c>
      <c r="Z6" s="30">
        <v>2</v>
      </c>
      <c r="AA6" s="30">
        <v>2</v>
      </c>
      <c r="AB6" s="30">
        <v>2</v>
      </c>
      <c r="AC6" s="30">
        <v>1</v>
      </c>
      <c r="AD6" s="30">
        <v>1</v>
      </c>
      <c r="AE6" s="30">
        <v>1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</row>
    <row r="7" spans="1:36" ht="80.099999999999994" customHeight="1">
      <c r="A7" s="122" t="s">
        <v>17</v>
      </c>
      <c r="B7" s="74" t="s">
        <v>1055</v>
      </c>
      <c r="C7" s="78" t="s">
        <v>989</v>
      </c>
      <c r="D7" s="58" t="s">
        <v>18</v>
      </c>
      <c r="E7" s="76"/>
      <c r="F7" s="77" t="s">
        <v>19</v>
      </c>
      <c r="G7" s="25"/>
      <c r="H7" s="25"/>
      <c r="I7" s="23" t="s">
        <v>20</v>
      </c>
      <c r="J7" s="32">
        <f>0+3</f>
        <v>3</v>
      </c>
      <c r="K7" s="32">
        <v>3</v>
      </c>
      <c r="L7" s="32">
        <v>2</v>
      </c>
      <c r="M7" s="32">
        <v>2</v>
      </c>
      <c r="N7" s="32">
        <f>1+5</f>
        <v>6</v>
      </c>
      <c r="O7" s="30">
        <f>0+5</f>
        <v>5</v>
      </c>
      <c r="P7" s="30">
        <v>5</v>
      </c>
      <c r="Q7" s="30">
        <f>0+5</f>
        <v>5</v>
      </c>
      <c r="R7" s="30">
        <f>1+4</f>
        <v>5</v>
      </c>
      <c r="S7" s="30">
        <f>1+4</f>
        <v>5</v>
      </c>
      <c r="T7" s="30">
        <v>4</v>
      </c>
      <c r="U7" s="30">
        <v>4</v>
      </c>
      <c r="V7" s="30">
        <v>4</v>
      </c>
      <c r="W7" s="30">
        <v>3</v>
      </c>
      <c r="X7" s="30">
        <v>3</v>
      </c>
      <c r="Y7" s="30">
        <v>3</v>
      </c>
      <c r="Z7" s="30">
        <v>2</v>
      </c>
      <c r="AA7" s="30">
        <v>1</v>
      </c>
      <c r="AB7" s="30">
        <v>1</v>
      </c>
      <c r="AC7" s="30">
        <v>0</v>
      </c>
      <c r="AD7" s="30">
        <f>0+5</f>
        <v>5</v>
      </c>
      <c r="AE7" s="30">
        <f>0+5</f>
        <v>5</v>
      </c>
      <c r="AF7" s="30">
        <v>3</v>
      </c>
      <c r="AG7" s="30">
        <f>3+5</f>
        <v>8</v>
      </c>
      <c r="AH7" s="30">
        <f>4+4</f>
        <v>8</v>
      </c>
      <c r="AI7" s="30">
        <f>4+4</f>
        <v>8</v>
      </c>
      <c r="AJ7" s="30">
        <f>4+4</f>
        <v>8</v>
      </c>
    </row>
    <row r="8" spans="1:36" ht="80.099999999999994" customHeight="1">
      <c r="A8" s="122" t="s">
        <v>1405</v>
      </c>
      <c r="B8" s="74"/>
      <c r="C8" s="75" t="s">
        <v>1165</v>
      </c>
      <c r="D8" s="56" t="s">
        <v>1164</v>
      </c>
      <c r="E8" s="80"/>
      <c r="F8" s="81" t="s">
        <v>1197</v>
      </c>
      <c r="G8" s="23"/>
      <c r="H8" s="25"/>
      <c r="I8" s="49"/>
      <c r="AI8" s="30">
        <v>0</v>
      </c>
      <c r="AJ8" s="30">
        <f>0+5</f>
        <v>5</v>
      </c>
    </row>
    <row r="9" spans="1:36" ht="80.099999999999994" customHeight="1">
      <c r="A9" s="122" t="s">
        <v>1404</v>
      </c>
      <c r="B9" s="74"/>
      <c r="C9" s="75" t="s">
        <v>1179</v>
      </c>
      <c r="D9" s="56" t="s">
        <v>1178</v>
      </c>
      <c r="E9" s="80"/>
      <c r="F9" s="81" t="s">
        <v>1204</v>
      </c>
      <c r="G9" s="23"/>
      <c r="H9" s="25"/>
      <c r="I9" s="49"/>
      <c r="AI9" s="30">
        <v>0</v>
      </c>
      <c r="AJ9" s="30">
        <f>0+5</f>
        <v>5</v>
      </c>
    </row>
    <row r="10" spans="1:36" ht="72" customHeight="1">
      <c r="A10" s="122" t="s">
        <v>1405</v>
      </c>
      <c r="B10" s="74"/>
      <c r="C10" s="75" t="s">
        <v>912</v>
      </c>
      <c r="D10" s="59" t="s">
        <v>22</v>
      </c>
      <c r="E10" s="76"/>
      <c r="F10" s="77" t="s">
        <v>23</v>
      </c>
      <c r="G10" s="27" t="s">
        <v>24</v>
      </c>
      <c r="H10" s="27"/>
      <c r="J10" s="32">
        <f>0+153</f>
        <v>153</v>
      </c>
      <c r="K10" s="32">
        <f>129+1</f>
        <v>130</v>
      </c>
      <c r="L10" s="32">
        <f>101+14</f>
        <v>115</v>
      </c>
      <c r="M10" s="32">
        <f>90+16</f>
        <v>106</v>
      </c>
      <c r="N10" s="32">
        <f>72+46+17</f>
        <v>135</v>
      </c>
      <c r="O10" s="30">
        <f>60+46+5</f>
        <v>111</v>
      </c>
      <c r="P10" s="30">
        <f>54+46+5</f>
        <v>105</v>
      </c>
      <c r="Q10" s="30">
        <f>34+91+13</f>
        <v>138</v>
      </c>
      <c r="R10" s="30">
        <f>10+45+58</f>
        <v>113</v>
      </c>
      <c r="S10" s="30">
        <f>0+45+49</f>
        <v>94</v>
      </c>
      <c r="T10" s="30">
        <f>12+69</f>
        <v>81</v>
      </c>
      <c r="U10" s="30">
        <f>41+11</f>
        <v>52</v>
      </c>
      <c r="V10" s="30">
        <f>30+150+6</f>
        <v>186</v>
      </c>
      <c r="W10" s="30">
        <f>136+3</f>
        <v>139</v>
      </c>
      <c r="X10" s="30">
        <f>126+1</f>
        <v>127</v>
      </c>
      <c r="Y10" s="30">
        <f>117+4</f>
        <v>121</v>
      </c>
      <c r="Z10" s="30">
        <f>110+1</f>
        <v>111</v>
      </c>
      <c r="AA10" s="30">
        <f>79+3</f>
        <v>82</v>
      </c>
      <c r="AB10" s="30">
        <f>59+4</f>
        <v>63</v>
      </c>
      <c r="AC10" s="30">
        <f>46+1</f>
        <v>47</v>
      </c>
      <c r="AD10" s="30">
        <f>33+3+50</f>
        <v>86</v>
      </c>
      <c r="AE10" s="30">
        <f>31+43</f>
        <v>74</v>
      </c>
      <c r="AF10" s="30">
        <f>33+50+9</f>
        <v>92</v>
      </c>
      <c r="AG10" s="30">
        <f>72+50+2</f>
        <v>124</v>
      </c>
      <c r="AH10" s="30">
        <f>61+50+2</f>
        <v>113</v>
      </c>
      <c r="AI10" s="30">
        <f>55+48</f>
        <v>103</v>
      </c>
      <c r="AJ10" s="30">
        <f>55+42</f>
        <v>97</v>
      </c>
    </row>
    <row r="11" spans="1:36" ht="80.099999999999994" customHeight="1">
      <c r="A11" s="122" t="s">
        <v>1404</v>
      </c>
      <c r="B11" s="74"/>
      <c r="C11" s="75" t="s">
        <v>1181</v>
      </c>
      <c r="D11" s="56" t="s">
        <v>1180</v>
      </c>
      <c r="E11" s="80"/>
      <c r="F11" s="81" t="s">
        <v>1205</v>
      </c>
      <c r="G11" s="23"/>
      <c r="H11" s="25"/>
      <c r="I11" s="49"/>
      <c r="AI11" s="30">
        <v>0</v>
      </c>
      <c r="AJ11" s="30">
        <f>0+3</f>
        <v>3</v>
      </c>
    </row>
    <row r="12" spans="1:36" s="30" customFormat="1" ht="80.099999999999994" customHeight="1">
      <c r="A12" s="125" t="s">
        <v>8</v>
      </c>
      <c r="B12" s="79" t="s">
        <v>1058</v>
      </c>
      <c r="C12" s="78" t="s">
        <v>26</v>
      </c>
      <c r="D12" s="60" t="s">
        <v>25</v>
      </c>
      <c r="E12" s="76">
        <v>7</v>
      </c>
      <c r="F12" s="82" t="s">
        <v>27</v>
      </c>
      <c r="G12" s="25"/>
      <c r="H12" s="25"/>
      <c r="J12" s="30">
        <v>3</v>
      </c>
      <c r="K12" s="30">
        <v>3</v>
      </c>
      <c r="L12" s="30">
        <v>3</v>
      </c>
      <c r="M12" s="30">
        <f>0+1</f>
        <v>1</v>
      </c>
      <c r="N12" s="30">
        <f>1+6</f>
        <v>7</v>
      </c>
      <c r="O12" s="30">
        <f>1+6</f>
        <v>7</v>
      </c>
      <c r="P12" s="30">
        <f>0+6+1</f>
        <v>7</v>
      </c>
      <c r="Q12" s="30">
        <f>0+6</f>
        <v>6</v>
      </c>
      <c r="R12" s="30">
        <f>0+6</f>
        <v>6</v>
      </c>
      <c r="S12" s="30">
        <f>0+6</f>
        <v>6</v>
      </c>
      <c r="T12" s="30">
        <f>5+1</f>
        <v>6</v>
      </c>
      <c r="U12" s="30">
        <f>3+2</f>
        <v>5</v>
      </c>
      <c r="V12" s="30">
        <f>3+1</f>
        <v>4</v>
      </c>
      <c r="W12" s="30">
        <v>0</v>
      </c>
      <c r="X12" s="30">
        <f>0+10+1</f>
        <v>11</v>
      </c>
      <c r="Y12" s="30">
        <v>12</v>
      </c>
      <c r="Z12" s="30">
        <v>12</v>
      </c>
      <c r="AA12" s="30">
        <f>11+1</f>
        <v>12</v>
      </c>
      <c r="AB12" s="30">
        <v>10</v>
      </c>
      <c r="AC12" s="30">
        <v>8</v>
      </c>
      <c r="AD12" s="30">
        <v>6</v>
      </c>
      <c r="AE12" s="30">
        <f>6+10</f>
        <v>16</v>
      </c>
      <c r="AF12" s="30">
        <f>6+10</f>
        <v>16</v>
      </c>
      <c r="AG12" s="30">
        <f>8+8</f>
        <v>16</v>
      </c>
      <c r="AH12" s="30">
        <f>14+2</f>
        <v>16</v>
      </c>
      <c r="AI12" s="30">
        <f>14+1</f>
        <v>15</v>
      </c>
      <c r="AJ12" s="30">
        <f>14+1</f>
        <v>15</v>
      </c>
    </row>
    <row r="13" spans="1:36" ht="80.099999999999994" customHeight="1">
      <c r="A13" s="126" t="s">
        <v>1436</v>
      </c>
      <c r="B13" s="83" t="s">
        <v>1051</v>
      </c>
      <c r="C13" s="84" t="s">
        <v>972</v>
      </c>
      <c r="D13" s="61" t="s">
        <v>29</v>
      </c>
      <c r="E13" s="85"/>
      <c r="F13" s="77" t="s">
        <v>30</v>
      </c>
      <c r="G13" s="28" t="s">
        <v>31</v>
      </c>
      <c r="H13" s="28"/>
      <c r="J13" s="30">
        <f>8+1</f>
        <v>9</v>
      </c>
      <c r="K13" s="30">
        <v>8</v>
      </c>
      <c r="L13" s="30">
        <v>8</v>
      </c>
      <c r="M13" s="30">
        <f>6+1</f>
        <v>7</v>
      </c>
      <c r="N13" s="30">
        <v>7</v>
      </c>
      <c r="O13" s="30">
        <f>5+1</f>
        <v>6</v>
      </c>
      <c r="P13" s="30">
        <f>4+2</f>
        <v>6</v>
      </c>
      <c r="Q13" s="30">
        <f>6+1</f>
        <v>7</v>
      </c>
      <c r="R13" s="30">
        <v>5</v>
      </c>
      <c r="S13" s="30">
        <f>4</f>
        <v>4</v>
      </c>
      <c r="T13" s="30">
        <v>4</v>
      </c>
      <c r="U13" s="30">
        <v>4</v>
      </c>
      <c r="V13" s="30">
        <f>3+5</f>
        <v>8</v>
      </c>
      <c r="W13" s="30">
        <v>6</v>
      </c>
      <c r="X13" s="30">
        <v>5</v>
      </c>
      <c r="Y13" s="30">
        <v>4</v>
      </c>
      <c r="Z13" s="30">
        <f>3+5+1</f>
        <v>9</v>
      </c>
      <c r="AA13" s="30">
        <v>5</v>
      </c>
      <c r="AB13" s="30">
        <v>5</v>
      </c>
      <c r="AC13" s="30">
        <v>5</v>
      </c>
      <c r="AD13" s="30">
        <f>4+5</f>
        <v>9</v>
      </c>
      <c r="AE13" s="30">
        <f>6+3</f>
        <v>9</v>
      </c>
      <c r="AF13" s="30">
        <v>8</v>
      </c>
      <c r="AG13" s="30">
        <v>8</v>
      </c>
      <c r="AH13" s="30">
        <v>8</v>
      </c>
      <c r="AI13" s="30">
        <v>6</v>
      </c>
      <c r="AJ13" s="30">
        <f>4+5</f>
        <v>9</v>
      </c>
    </row>
    <row r="14" spans="1:36" ht="72" customHeight="1">
      <c r="A14" s="122" t="s">
        <v>1411</v>
      </c>
      <c r="B14" s="74"/>
      <c r="C14" s="75" t="s">
        <v>1161</v>
      </c>
      <c r="D14" s="56" t="s">
        <v>1160</v>
      </c>
      <c r="E14" s="80"/>
      <c r="F14" s="81" t="s">
        <v>1195</v>
      </c>
      <c r="G14" s="23"/>
      <c r="H14" s="25"/>
      <c r="I14" s="49"/>
      <c r="AI14" s="30">
        <v>0</v>
      </c>
      <c r="AJ14" s="30">
        <v>0</v>
      </c>
    </row>
    <row r="15" spans="1:36" ht="80.099999999999994" customHeight="1">
      <c r="A15" s="122" t="s">
        <v>1405</v>
      </c>
      <c r="B15" s="74"/>
      <c r="C15" s="75" t="s">
        <v>1159</v>
      </c>
      <c r="D15" s="56" t="s">
        <v>1158</v>
      </c>
      <c r="E15" s="80"/>
      <c r="F15" s="81" t="s">
        <v>1194</v>
      </c>
      <c r="G15" s="23"/>
      <c r="H15" s="25"/>
      <c r="I15" s="49"/>
      <c r="AI15" s="30">
        <v>0</v>
      </c>
      <c r="AJ15" s="30">
        <f>0+5</f>
        <v>5</v>
      </c>
    </row>
    <row r="16" spans="1:36" ht="80.099999999999994" customHeight="1">
      <c r="A16" s="122" t="s">
        <v>32</v>
      </c>
      <c r="B16" s="74"/>
      <c r="C16" s="75" t="s">
        <v>973</v>
      </c>
      <c r="D16" s="58" t="s">
        <v>33</v>
      </c>
      <c r="E16" s="76"/>
      <c r="F16" s="77" t="s">
        <v>34</v>
      </c>
      <c r="G16" s="27" t="s">
        <v>35</v>
      </c>
      <c r="H16" s="27"/>
      <c r="I16" s="49" t="s">
        <v>883</v>
      </c>
      <c r="J16" s="30">
        <f>7+2</f>
        <v>9</v>
      </c>
      <c r="K16" s="30">
        <v>9</v>
      </c>
      <c r="L16" s="30">
        <v>9</v>
      </c>
      <c r="M16" s="30">
        <v>8</v>
      </c>
      <c r="N16" s="30">
        <v>7</v>
      </c>
      <c r="O16" s="30">
        <v>6</v>
      </c>
      <c r="P16" s="30">
        <v>6</v>
      </c>
      <c r="Q16" s="30">
        <v>6</v>
      </c>
      <c r="R16" s="30">
        <v>4</v>
      </c>
      <c r="S16" s="30">
        <v>3</v>
      </c>
      <c r="T16" s="30">
        <f>3+10</f>
        <v>13</v>
      </c>
      <c r="U16" s="30">
        <f>0+10+1</f>
        <v>11</v>
      </c>
      <c r="V16" s="30">
        <v>12</v>
      </c>
      <c r="W16" s="30">
        <f>7+0</f>
        <v>7</v>
      </c>
      <c r="X16" s="30">
        <v>7</v>
      </c>
      <c r="Y16" s="30">
        <v>6</v>
      </c>
      <c r="Z16" s="30">
        <v>6</v>
      </c>
      <c r="AA16" s="30">
        <f>5+1</f>
        <v>6</v>
      </c>
      <c r="AB16" s="30">
        <v>5</v>
      </c>
      <c r="AC16" s="30">
        <v>4</v>
      </c>
      <c r="AD16" s="30">
        <v>3</v>
      </c>
      <c r="AE16" s="30">
        <f>0+5+2</f>
        <v>7</v>
      </c>
      <c r="AF16" s="30">
        <f>0+5+0</f>
        <v>5</v>
      </c>
      <c r="AG16" s="30">
        <f>1+10+4</f>
        <v>15</v>
      </c>
      <c r="AH16" s="30">
        <f>5+9+1</f>
        <v>15</v>
      </c>
      <c r="AI16" s="30">
        <f>4+10</f>
        <v>14</v>
      </c>
      <c r="AJ16" s="30">
        <f>6+8</f>
        <v>14</v>
      </c>
    </row>
    <row r="17" spans="1:69" ht="72" customHeight="1">
      <c r="A17" s="127" t="s">
        <v>17</v>
      </c>
      <c r="B17" s="86"/>
      <c r="C17" s="84" t="s">
        <v>990</v>
      </c>
      <c r="D17" s="62" t="s">
        <v>881</v>
      </c>
      <c r="E17" s="87"/>
      <c r="F17" s="77" t="s">
        <v>36</v>
      </c>
      <c r="G17" s="25"/>
      <c r="H17" s="25"/>
      <c r="J17" s="30">
        <f>58+24+2</f>
        <v>84</v>
      </c>
      <c r="K17" s="30">
        <f>48+24+4</f>
        <v>76</v>
      </c>
      <c r="L17" s="30">
        <f>42+2</f>
        <v>44</v>
      </c>
      <c r="M17" s="30">
        <f>42+4</f>
        <v>46</v>
      </c>
      <c r="N17" s="30">
        <f>28+50+27</f>
        <v>105</v>
      </c>
      <c r="O17" s="30">
        <f>19+50+28</f>
        <v>97</v>
      </c>
      <c r="P17" s="30">
        <f>19+50+26</f>
        <v>95</v>
      </c>
      <c r="Q17" s="30">
        <f>12+50+30</f>
        <v>92</v>
      </c>
      <c r="R17" s="30">
        <f>10+76</f>
        <v>86</v>
      </c>
      <c r="S17" s="30">
        <f>0+77</f>
        <v>77</v>
      </c>
      <c r="T17" s="30">
        <f>0+69</f>
        <v>69</v>
      </c>
      <c r="U17" s="30">
        <f>38+29</f>
        <v>67</v>
      </c>
      <c r="V17" s="30">
        <f>56+3</f>
        <v>59</v>
      </c>
      <c r="W17" s="30">
        <f>39+1</f>
        <v>40</v>
      </c>
      <c r="X17" s="30">
        <f>32+1</f>
        <v>33</v>
      </c>
      <c r="Y17" s="30">
        <f>28+3</f>
        <v>31</v>
      </c>
      <c r="Z17" s="30">
        <f>25+3</f>
        <v>28</v>
      </c>
      <c r="AA17" s="30">
        <f>19+3</f>
        <v>22</v>
      </c>
      <c r="AB17" s="30">
        <f>13+2</f>
        <v>15</v>
      </c>
      <c r="AC17" s="30">
        <f>6+2</f>
        <v>8</v>
      </c>
      <c r="AD17" s="30">
        <f>5+20</f>
        <v>25</v>
      </c>
      <c r="AE17" s="30">
        <f>4+30+12</f>
        <v>46</v>
      </c>
      <c r="AF17" s="30">
        <f>0+30</f>
        <v>30</v>
      </c>
      <c r="AG17" s="30">
        <f>0+30+24</f>
        <v>54</v>
      </c>
      <c r="AH17" s="30">
        <f>10+30+10</f>
        <v>50</v>
      </c>
      <c r="AI17" s="30">
        <f>18+32</f>
        <v>50</v>
      </c>
      <c r="AJ17" s="30">
        <f>16+27</f>
        <v>43</v>
      </c>
    </row>
    <row r="18" spans="1:69" ht="80.099999999999994" customHeight="1">
      <c r="A18" s="90" t="s">
        <v>1437</v>
      </c>
      <c r="B18" s="88" t="s">
        <v>1052</v>
      </c>
      <c r="C18" s="84" t="s">
        <v>991</v>
      </c>
      <c r="D18" s="63" t="s">
        <v>37</v>
      </c>
      <c r="E18" s="89"/>
      <c r="F18" s="90" t="s">
        <v>38</v>
      </c>
      <c r="G18" s="25"/>
      <c r="H18" s="25"/>
      <c r="J18" s="30">
        <f>12+1</f>
        <v>13</v>
      </c>
      <c r="K18" s="30">
        <v>12</v>
      </c>
      <c r="L18" s="30">
        <v>12</v>
      </c>
      <c r="M18" s="30">
        <f>10+2</f>
        <v>12</v>
      </c>
      <c r="N18" s="30">
        <v>6</v>
      </c>
      <c r="O18" s="30">
        <v>5</v>
      </c>
      <c r="P18" s="30">
        <v>5</v>
      </c>
      <c r="Q18" s="30">
        <f>3+10+1</f>
        <v>14</v>
      </c>
      <c r="R18" s="30">
        <v>12</v>
      </c>
      <c r="S18" s="30">
        <v>11</v>
      </c>
      <c r="T18" s="30">
        <v>11</v>
      </c>
      <c r="U18" s="30">
        <v>11</v>
      </c>
      <c r="V18" s="30">
        <f>10+10+1</f>
        <v>21</v>
      </c>
      <c r="W18" s="30">
        <f>19+0</f>
        <v>19</v>
      </c>
      <c r="X18" s="30">
        <v>19</v>
      </c>
      <c r="Y18" s="30">
        <v>17</v>
      </c>
      <c r="Z18" s="30">
        <f>14+1</f>
        <v>15</v>
      </c>
      <c r="AA18" s="30">
        <f>11+1</f>
        <v>12</v>
      </c>
      <c r="AB18" s="30">
        <f>8+1</f>
        <v>9</v>
      </c>
      <c r="AC18" s="30">
        <v>5</v>
      </c>
      <c r="AD18" s="30">
        <f>4+1+10</f>
        <v>15</v>
      </c>
      <c r="AE18" s="30">
        <f>5+6</f>
        <v>11</v>
      </c>
      <c r="AF18" s="30">
        <f>9+10+1</f>
        <v>20</v>
      </c>
      <c r="AG18" s="30">
        <v>19</v>
      </c>
      <c r="AH18" s="30">
        <f>16+1</f>
        <v>17</v>
      </c>
      <c r="AI18" s="30">
        <v>16</v>
      </c>
      <c r="AJ18" s="30">
        <v>12</v>
      </c>
    </row>
    <row r="19" spans="1:69" ht="80.099999999999994" customHeight="1">
      <c r="A19" s="128" t="s">
        <v>8</v>
      </c>
      <c r="B19" s="91" t="s">
        <v>1055</v>
      </c>
      <c r="C19" s="78" t="s">
        <v>40</v>
      </c>
      <c r="D19" s="64" t="s">
        <v>39</v>
      </c>
      <c r="E19" s="92">
        <v>8</v>
      </c>
      <c r="F19" s="77" t="s">
        <v>41</v>
      </c>
      <c r="G19" s="29"/>
      <c r="H19" s="29"/>
      <c r="J19" s="30">
        <v>13</v>
      </c>
      <c r="K19" s="30">
        <v>13</v>
      </c>
      <c r="L19" s="30">
        <v>13</v>
      </c>
      <c r="M19" s="30">
        <v>13</v>
      </c>
      <c r="N19" s="30">
        <v>13</v>
      </c>
      <c r="O19" s="30">
        <v>13</v>
      </c>
      <c r="P19" s="30">
        <v>13</v>
      </c>
      <c r="Q19" s="30">
        <v>13</v>
      </c>
      <c r="R19" s="30">
        <v>13</v>
      </c>
      <c r="S19" s="30">
        <v>13</v>
      </c>
      <c r="T19" s="30">
        <v>13</v>
      </c>
      <c r="U19" s="30">
        <v>13</v>
      </c>
      <c r="V19" s="30">
        <f>13</f>
        <v>13</v>
      </c>
      <c r="W19" s="30">
        <f>13</f>
        <v>13</v>
      </c>
      <c r="X19" s="30">
        <v>13</v>
      </c>
      <c r="Y19" s="30">
        <v>13</v>
      </c>
      <c r="Z19" s="30">
        <v>13</v>
      </c>
      <c r="AA19" s="30">
        <v>13</v>
      </c>
      <c r="AB19" s="30">
        <v>13</v>
      </c>
      <c r="AC19" s="30">
        <v>13</v>
      </c>
      <c r="AD19" s="30">
        <v>13</v>
      </c>
      <c r="AE19" s="30">
        <v>13</v>
      </c>
      <c r="AF19" s="30">
        <v>13</v>
      </c>
      <c r="AG19" s="30">
        <v>13</v>
      </c>
      <c r="AH19" s="30">
        <v>13</v>
      </c>
      <c r="AI19" s="30">
        <v>13</v>
      </c>
      <c r="AJ19" s="30">
        <v>13</v>
      </c>
    </row>
    <row r="20" spans="1:69" s="32" customFormat="1" ht="72" customHeight="1">
      <c r="A20" s="128" t="s">
        <v>8</v>
      </c>
      <c r="B20" s="91" t="s">
        <v>1062</v>
      </c>
      <c r="C20" s="78" t="s">
        <v>974</v>
      </c>
      <c r="D20" s="58" t="s">
        <v>42</v>
      </c>
      <c r="E20" s="92">
        <v>6</v>
      </c>
      <c r="F20" s="77" t="s">
        <v>43</v>
      </c>
      <c r="G20" s="29"/>
      <c r="H20" s="29"/>
      <c r="I20" s="23"/>
      <c r="J20" s="30">
        <f>16+1</f>
        <v>17</v>
      </c>
      <c r="K20" s="30">
        <f>15+1</f>
        <v>16</v>
      </c>
      <c r="L20" s="30">
        <v>16</v>
      </c>
      <c r="M20" s="30">
        <v>13</v>
      </c>
      <c r="N20" s="30">
        <v>14</v>
      </c>
      <c r="O20" s="30">
        <v>13</v>
      </c>
      <c r="P20" s="30">
        <v>13</v>
      </c>
      <c r="Q20" s="30">
        <f>12</f>
        <v>12</v>
      </c>
      <c r="R20" s="30">
        <v>12</v>
      </c>
      <c r="S20" s="30">
        <f>10+1</f>
        <v>11</v>
      </c>
      <c r="T20" s="30">
        <v>8</v>
      </c>
      <c r="U20" s="30">
        <v>8</v>
      </c>
      <c r="V20" s="30">
        <f>7+10</f>
        <v>17</v>
      </c>
      <c r="W20" s="30">
        <f>11+2</f>
        <v>13</v>
      </c>
      <c r="X20" s="30">
        <v>12</v>
      </c>
      <c r="Y20" s="30">
        <v>10</v>
      </c>
      <c r="Z20" s="30">
        <f>10+10</f>
        <v>20</v>
      </c>
      <c r="AA20" s="30">
        <f>16+1</f>
        <v>17</v>
      </c>
      <c r="AB20" s="30">
        <f>14+1</f>
        <v>15</v>
      </c>
      <c r="AC20" s="30">
        <v>15</v>
      </c>
      <c r="AD20" s="30">
        <f>16+10</f>
        <v>26</v>
      </c>
      <c r="AE20" s="30">
        <f>18+7</f>
        <v>25</v>
      </c>
      <c r="AF20" s="30">
        <v>23</v>
      </c>
      <c r="AG20" s="30">
        <v>22</v>
      </c>
      <c r="AH20" s="30">
        <v>21</v>
      </c>
      <c r="AI20" s="30">
        <v>21</v>
      </c>
      <c r="AJ20" s="30">
        <v>20</v>
      </c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1:69" ht="80.099999999999994" customHeight="1">
      <c r="A21" s="127" t="s">
        <v>1438</v>
      </c>
      <c r="B21" s="86"/>
      <c r="C21" s="84" t="s">
        <v>45</v>
      </c>
      <c r="D21" s="62" t="s">
        <v>44</v>
      </c>
      <c r="E21" s="93"/>
      <c r="F21" s="82" t="s">
        <v>46</v>
      </c>
      <c r="G21" s="25"/>
      <c r="H21" s="25"/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f>0+3</f>
        <v>3</v>
      </c>
    </row>
    <row r="22" spans="1:69" ht="80.099999999999994" customHeight="1">
      <c r="A22" s="90" t="s">
        <v>17</v>
      </c>
      <c r="B22" s="88"/>
      <c r="C22" s="84" t="s">
        <v>48</v>
      </c>
      <c r="D22" s="58" t="s">
        <v>47</v>
      </c>
      <c r="E22" s="76"/>
      <c r="F22" s="77" t="s">
        <v>49</v>
      </c>
      <c r="G22" s="25"/>
      <c r="H22" s="25"/>
      <c r="J22" s="30">
        <f>18+5+11</f>
        <v>34</v>
      </c>
      <c r="K22" s="30">
        <f>20+5+6</f>
        <v>31</v>
      </c>
      <c r="L22" s="30">
        <f>18+7</f>
        <v>25</v>
      </c>
      <c r="M22" s="30">
        <f>20+9</f>
        <v>29</v>
      </c>
      <c r="N22" s="30">
        <f>16+20+6</f>
        <v>42</v>
      </c>
      <c r="O22" s="30">
        <f>10+20+6</f>
        <v>36</v>
      </c>
      <c r="P22" s="30">
        <f>10+20+5</f>
        <v>35</v>
      </c>
      <c r="Q22" s="30">
        <f>9+30+6</f>
        <v>45</v>
      </c>
      <c r="R22" s="30">
        <f>3+10+28</f>
        <v>41</v>
      </c>
      <c r="S22" s="30">
        <f>0+10+25</f>
        <v>35</v>
      </c>
      <c r="T22" s="30">
        <f>3+30</f>
        <v>33</v>
      </c>
      <c r="U22" s="30">
        <f>20+7</f>
        <v>27</v>
      </c>
      <c r="V22" s="30">
        <f>23+30</f>
        <v>53</v>
      </c>
      <c r="W22" s="30">
        <f>41+0</f>
        <v>41</v>
      </c>
      <c r="X22" s="30">
        <v>39</v>
      </c>
      <c r="Y22" s="30">
        <f>41+2</f>
        <v>43</v>
      </c>
      <c r="Z22" s="30">
        <v>41</v>
      </c>
      <c r="AA22" s="30">
        <f>39+2</f>
        <v>41</v>
      </c>
      <c r="AB22" s="30">
        <f>36+2</f>
        <v>38</v>
      </c>
      <c r="AC22" s="30">
        <f>34+1</f>
        <v>35</v>
      </c>
      <c r="AD22" s="30">
        <f>32+2</f>
        <v>34</v>
      </c>
      <c r="AE22" s="30">
        <f>31+20+1</f>
        <v>52</v>
      </c>
      <c r="AF22" s="30">
        <f>27+20+1</f>
        <v>48</v>
      </c>
      <c r="AG22" s="30">
        <f>27+19</f>
        <v>46</v>
      </c>
      <c r="AH22" s="30">
        <f>37+8</f>
        <v>45</v>
      </c>
      <c r="AI22" s="30">
        <f>41+4</f>
        <v>45</v>
      </c>
      <c r="AJ22" s="30">
        <f>41+1</f>
        <v>42</v>
      </c>
    </row>
    <row r="23" spans="1:69" s="32" customFormat="1" ht="72" customHeight="1">
      <c r="A23" s="122" t="s">
        <v>3</v>
      </c>
      <c r="B23" s="74"/>
      <c r="C23" s="75" t="s">
        <v>51</v>
      </c>
      <c r="D23" s="58" t="s">
        <v>50</v>
      </c>
      <c r="E23" s="76"/>
      <c r="F23" s="77" t="s">
        <v>52</v>
      </c>
      <c r="G23" s="25"/>
      <c r="H23" s="25"/>
      <c r="I23" s="23"/>
      <c r="J23" s="30">
        <f>4</f>
        <v>4</v>
      </c>
      <c r="K23" s="30">
        <f>3+1</f>
        <v>4</v>
      </c>
      <c r="L23" s="30">
        <v>3</v>
      </c>
      <c r="M23" s="30">
        <v>2</v>
      </c>
      <c r="N23" s="30">
        <v>1</v>
      </c>
      <c r="O23" s="30">
        <f>0+1</f>
        <v>1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</row>
    <row r="24" spans="1:69" ht="80.099999999999994" customHeight="1">
      <c r="A24" s="126" t="s">
        <v>1436</v>
      </c>
      <c r="B24" s="83" t="s">
        <v>1051</v>
      </c>
      <c r="C24" s="84" t="s">
        <v>54</v>
      </c>
      <c r="D24" s="64" t="s">
        <v>53</v>
      </c>
      <c r="E24" s="85"/>
      <c r="F24" s="77" t="s">
        <v>55</v>
      </c>
      <c r="G24" s="29"/>
      <c r="H24" s="29"/>
      <c r="J24" s="30">
        <v>4</v>
      </c>
      <c r="K24" s="30">
        <v>4</v>
      </c>
      <c r="L24" s="30">
        <v>4</v>
      </c>
      <c r="M24" s="30">
        <v>4</v>
      </c>
      <c r="N24" s="30">
        <v>4</v>
      </c>
      <c r="O24" s="30">
        <v>4</v>
      </c>
      <c r="P24" s="30">
        <v>4</v>
      </c>
      <c r="Q24" s="30">
        <v>4</v>
      </c>
      <c r="R24" s="30">
        <v>4</v>
      </c>
      <c r="S24" s="30">
        <v>4</v>
      </c>
      <c r="T24" s="30">
        <v>4</v>
      </c>
      <c r="U24" s="30">
        <v>4</v>
      </c>
      <c r="V24" s="30">
        <v>4</v>
      </c>
      <c r="W24" s="30">
        <v>4</v>
      </c>
      <c r="X24" s="30">
        <v>4</v>
      </c>
      <c r="Y24" s="30">
        <v>4</v>
      </c>
      <c r="Z24" s="30">
        <v>4</v>
      </c>
      <c r="AA24" s="30">
        <v>4</v>
      </c>
      <c r="AB24" s="30">
        <v>4</v>
      </c>
      <c r="AC24" s="30">
        <v>4</v>
      </c>
      <c r="AD24" s="30">
        <v>4</v>
      </c>
      <c r="AE24" s="30">
        <v>4</v>
      </c>
      <c r="AF24" s="30">
        <v>3</v>
      </c>
      <c r="AG24" s="30">
        <v>2</v>
      </c>
      <c r="AH24" s="30">
        <v>2</v>
      </c>
      <c r="AI24" s="30">
        <v>2</v>
      </c>
      <c r="AJ24" s="30">
        <v>1</v>
      </c>
    </row>
    <row r="25" spans="1:69" ht="80.099999999999994" customHeight="1">
      <c r="A25" s="122" t="s">
        <v>8</v>
      </c>
      <c r="B25" s="74" t="s">
        <v>1057</v>
      </c>
      <c r="C25" s="78" t="s">
        <v>57</v>
      </c>
      <c r="D25" s="58" t="s">
        <v>56</v>
      </c>
      <c r="E25" s="76">
        <v>9</v>
      </c>
      <c r="F25" s="77" t="s">
        <v>58</v>
      </c>
      <c r="G25" s="25"/>
      <c r="H25" s="25"/>
      <c r="J25" s="30">
        <v>11</v>
      </c>
      <c r="K25" s="30">
        <v>11</v>
      </c>
      <c r="L25" s="30">
        <v>11</v>
      </c>
      <c r="M25" s="30">
        <v>11</v>
      </c>
      <c r="N25" s="30">
        <v>11</v>
      </c>
      <c r="O25" s="30">
        <v>11</v>
      </c>
      <c r="P25" s="30">
        <v>11</v>
      </c>
      <c r="Q25" s="30">
        <v>11</v>
      </c>
      <c r="R25" s="30">
        <v>11</v>
      </c>
      <c r="S25" s="30">
        <v>11</v>
      </c>
      <c r="T25" s="30">
        <v>11</v>
      </c>
      <c r="U25" s="30">
        <v>10</v>
      </c>
      <c r="V25" s="30">
        <v>10</v>
      </c>
      <c r="W25" s="30">
        <v>10</v>
      </c>
      <c r="X25" s="30">
        <v>10</v>
      </c>
      <c r="Y25" s="30">
        <v>10</v>
      </c>
      <c r="Z25" s="30">
        <v>10</v>
      </c>
      <c r="AA25" s="30">
        <v>10</v>
      </c>
      <c r="AB25" s="30">
        <v>9</v>
      </c>
      <c r="AC25" s="30">
        <v>9</v>
      </c>
      <c r="AD25" s="30">
        <v>9</v>
      </c>
      <c r="AE25" s="30">
        <v>9</v>
      </c>
      <c r="AF25" s="30">
        <v>9</v>
      </c>
      <c r="AG25" s="30">
        <v>9</v>
      </c>
      <c r="AH25" s="30">
        <v>9</v>
      </c>
      <c r="AI25" s="30">
        <v>9</v>
      </c>
      <c r="AJ25" s="30">
        <v>9</v>
      </c>
    </row>
    <row r="26" spans="1:69" ht="80.099999999999994" customHeight="1">
      <c r="A26" s="122" t="s">
        <v>8</v>
      </c>
      <c r="B26" s="74" t="s">
        <v>1053</v>
      </c>
      <c r="C26" s="78" t="s">
        <v>60</v>
      </c>
      <c r="D26" s="58" t="s">
        <v>59</v>
      </c>
      <c r="E26" s="76">
        <v>6</v>
      </c>
      <c r="F26" s="77" t="s">
        <v>61</v>
      </c>
      <c r="G26" s="25"/>
      <c r="H26" s="25"/>
      <c r="J26" s="30">
        <v>5</v>
      </c>
      <c r="K26" s="30">
        <v>5</v>
      </c>
      <c r="L26" s="30">
        <v>5</v>
      </c>
      <c r="M26" s="30">
        <v>5</v>
      </c>
      <c r="N26" s="30">
        <v>5</v>
      </c>
      <c r="O26" s="30">
        <v>5</v>
      </c>
      <c r="P26" s="30">
        <v>5</v>
      </c>
      <c r="Q26" s="30">
        <v>5</v>
      </c>
      <c r="R26" s="30">
        <v>5</v>
      </c>
      <c r="S26" s="30">
        <v>5</v>
      </c>
      <c r="T26" s="30">
        <v>5</v>
      </c>
      <c r="U26" s="30">
        <v>5</v>
      </c>
      <c r="V26" s="30">
        <v>5</v>
      </c>
      <c r="W26" s="30">
        <v>5</v>
      </c>
      <c r="X26" s="30">
        <v>5</v>
      </c>
      <c r="Y26" s="30">
        <v>5</v>
      </c>
      <c r="Z26" s="30">
        <v>5</v>
      </c>
      <c r="AA26" s="30">
        <v>5</v>
      </c>
      <c r="AB26" s="30">
        <v>5</v>
      </c>
      <c r="AC26" s="30">
        <v>5</v>
      </c>
      <c r="AD26" s="30">
        <v>5</v>
      </c>
      <c r="AE26" s="30">
        <v>5</v>
      </c>
      <c r="AF26" s="30">
        <v>5</v>
      </c>
      <c r="AG26" s="30">
        <v>5</v>
      </c>
      <c r="AH26" s="30">
        <v>5</v>
      </c>
      <c r="AI26" s="30">
        <v>5</v>
      </c>
      <c r="AJ26" s="30">
        <v>5</v>
      </c>
    </row>
    <row r="27" spans="1:69" ht="80.099999999999994" customHeight="1">
      <c r="A27" s="122" t="s">
        <v>8</v>
      </c>
      <c r="B27" s="74" t="s">
        <v>1062</v>
      </c>
      <c r="C27" s="78" t="s">
        <v>63</v>
      </c>
      <c r="D27" s="58" t="s">
        <v>62</v>
      </c>
      <c r="E27" s="76">
        <v>6</v>
      </c>
      <c r="F27" s="77" t="s">
        <v>64</v>
      </c>
      <c r="G27" s="25"/>
      <c r="H27" s="25"/>
      <c r="J27" s="30">
        <v>3</v>
      </c>
      <c r="K27" s="30">
        <v>3</v>
      </c>
      <c r="L27" s="30">
        <v>3</v>
      </c>
      <c r="M27" s="30">
        <v>3</v>
      </c>
      <c r="N27" s="30">
        <v>3</v>
      </c>
      <c r="O27" s="30">
        <v>3</v>
      </c>
      <c r="P27" s="30">
        <v>3</v>
      </c>
      <c r="Q27" s="30">
        <v>3</v>
      </c>
      <c r="R27" s="30">
        <v>3</v>
      </c>
      <c r="S27" s="30">
        <v>3</v>
      </c>
      <c r="T27" s="30">
        <v>3</v>
      </c>
      <c r="U27" s="30">
        <v>3</v>
      </c>
      <c r="V27" s="30">
        <v>3</v>
      </c>
      <c r="W27" s="30">
        <v>3</v>
      </c>
      <c r="X27" s="30">
        <v>3</v>
      </c>
      <c r="Y27" s="30">
        <v>3</v>
      </c>
      <c r="Z27" s="30">
        <v>3</v>
      </c>
      <c r="AA27" s="30">
        <v>3</v>
      </c>
      <c r="AB27" s="30">
        <v>3</v>
      </c>
      <c r="AC27" s="30">
        <v>3</v>
      </c>
      <c r="AD27" s="30">
        <v>3</v>
      </c>
      <c r="AE27" s="30">
        <v>3</v>
      </c>
      <c r="AF27" s="30">
        <v>3</v>
      </c>
      <c r="AG27" s="30">
        <v>3</v>
      </c>
      <c r="AH27" s="30">
        <v>3</v>
      </c>
      <c r="AI27" s="30">
        <v>3</v>
      </c>
      <c r="AJ27" s="30">
        <v>3</v>
      </c>
    </row>
    <row r="28" spans="1:69" ht="80.099999999999994" customHeight="1">
      <c r="A28" s="125" t="s">
        <v>8</v>
      </c>
      <c r="B28" s="79"/>
      <c r="C28" s="78" t="s">
        <v>975</v>
      </c>
      <c r="D28" s="60" t="s">
        <v>65</v>
      </c>
      <c r="E28" s="94">
        <v>6</v>
      </c>
      <c r="F28" s="77" t="s">
        <v>66</v>
      </c>
      <c r="G28" s="25"/>
      <c r="H28" s="25"/>
      <c r="J28" s="30">
        <f>69+8</f>
        <v>77</v>
      </c>
      <c r="K28" s="30">
        <f>62+5</f>
        <v>67</v>
      </c>
      <c r="L28" s="30">
        <f>54+4</f>
        <v>58</v>
      </c>
      <c r="M28" s="30">
        <f>46+7</f>
        <v>53</v>
      </c>
      <c r="N28" s="30">
        <f>33+58+4</f>
        <v>95</v>
      </c>
      <c r="O28" s="30">
        <f>30+58+2</f>
        <v>90</v>
      </c>
      <c r="P28" s="30">
        <f>27+58+3</f>
        <v>88</v>
      </c>
      <c r="Q28" s="30">
        <f>6+58+11</f>
        <v>75</v>
      </c>
      <c r="R28" s="30">
        <f>0+56</f>
        <v>56</v>
      </c>
      <c r="S28" s="30">
        <f>0+55+54</f>
        <v>109</v>
      </c>
      <c r="T28" s="30">
        <f>0+43</f>
        <v>43</v>
      </c>
      <c r="U28" s="30">
        <f>41+67</f>
        <v>108</v>
      </c>
      <c r="V28" s="30">
        <f>70+18</f>
        <v>88</v>
      </c>
      <c r="W28" s="30">
        <f>46+80+4</f>
        <v>130</v>
      </c>
      <c r="X28" s="30">
        <f>34+81</f>
        <v>115</v>
      </c>
      <c r="Y28" s="30">
        <f>108+1</f>
        <v>109</v>
      </c>
      <c r="Z28" s="30">
        <f>106+30+3</f>
        <v>139</v>
      </c>
      <c r="AA28" s="30">
        <f>100+31</f>
        <v>131</v>
      </c>
      <c r="AB28" s="30">
        <f>96+21</f>
        <v>117</v>
      </c>
      <c r="AC28" s="30">
        <f>104+4</f>
        <v>108</v>
      </c>
      <c r="AD28" s="30">
        <f>91+9</f>
        <v>100</v>
      </c>
      <c r="AE28" s="30">
        <f>88+1</f>
        <v>89</v>
      </c>
      <c r="AF28" s="30">
        <f>73+3</f>
        <v>76</v>
      </c>
      <c r="AG28" s="30">
        <f>68+30+2</f>
        <v>100</v>
      </c>
      <c r="AH28" s="30">
        <f>7+30+46</f>
        <v>83</v>
      </c>
      <c r="AI28" s="30">
        <f>49+31</f>
        <v>80</v>
      </c>
      <c r="AJ28" s="30">
        <f>48+25</f>
        <v>73</v>
      </c>
    </row>
    <row r="29" spans="1:69" ht="80.099999999999994" customHeight="1">
      <c r="A29" s="122" t="s">
        <v>1406</v>
      </c>
      <c r="B29" s="74"/>
      <c r="C29" s="78" t="s">
        <v>68</v>
      </c>
      <c r="D29" s="58" t="s">
        <v>67</v>
      </c>
      <c r="E29" s="94"/>
      <c r="F29" s="81" t="s">
        <v>1080</v>
      </c>
      <c r="G29" s="10"/>
      <c r="H29" s="10"/>
      <c r="J29" s="30">
        <v>23</v>
      </c>
      <c r="K29" s="30">
        <v>23</v>
      </c>
      <c r="L29" s="30">
        <v>23</v>
      </c>
      <c r="M29" s="30">
        <v>23</v>
      </c>
      <c r="N29" s="30">
        <v>23</v>
      </c>
      <c r="O29" s="30">
        <v>23</v>
      </c>
      <c r="P29" s="30">
        <v>23</v>
      </c>
      <c r="Q29" s="30">
        <v>23</v>
      </c>
      <c r="R29" s="30">
        <v>23</v>
      </c>
      <c r="S29" s="30">
        <v>23</v>
      </c>
      <c r="T29" s="30">
        <v>23</v>
      </c>
      <c r="U29" s="30">
        <v>23</v>
      </c>
      <c r="V29" s="30">
        <v>23</v>
      </c>
      <c r="W29" s="30">
        <v>23</v>
      </c>
      <c r="X29" s="30">
        <v>23</v>
      </c>
      <c r="Y29" s="30">
        <v>23</v>
      </c>
      <c r="Z29" s="30">
        <v>23</v>
      </c>
      <c r="AA29" s="30">
        <v>23</v>
      </c>
      <c r="AB29" s="30">
        <v>23</v>
      </c>
      <c r="AC29" s="30">
        <v>23</v>
      </c>
      <c r="AD29" s="30">
        <v>23</v>
      </c>
      <c r="AE29" s="30">
        <v>23</v>
      </c>
      <c r="AF29" s="30">
        <v>23</v>
      </c>
      <c r="AG29" s="30">
        <v>23</v>
      </c>
      <c r="AH29" s="30">
        <v>23</v>
      </c>
      <c r="AI29" s="30">
        <v>23</v>
      </c>
      <c r="AJ29" s="30">
        <v>23</v>
      </c>
    </row>
    <row r="30" spans="1:69" ht="80.099999999999994" customHeight="1">
      <c r="A30" s="127" t="s">
        <v>1406</v>
      </c>
      <c r="B30" s="86"/>
      <c r="C30" s="78" t="s">
        <v>70</v>
      </c>
      <c r="D30" s="58" t="s">
        <v>69</v>
      </c>
      <c r="E30" s="76"/>
      <c r="F30" s="81" t="s">
        <v>1081</v>
      </c>
      <c r="G30" s="10"/>
      <c r="H30" s="10"/>
      <c r="J30" s="30">
        <v>3</v>
      </c>
      <c r="K30" s="30">
        <v>3</v>
      </c>
      <c r="L30" s="30">
        <v>3</v>
      </c>
      <c r="M30" s="30">
        <v>3</v>
      </c>
      <c r="N30" s="30">
        <v>3</v>
      </c>
      <c r="O30" s="30">
        <v>3</v>
      </c>
      <c r="P30" s="30">
        <v>4</v>
      </c>
      <c r="Q30" s="30">
        <v>4</v>
      </c>
      <c r="R30" s="30">
        <v>4</v>
      </c>
      <c r="S30" s="30">
        <v>4</v>
      </c>
      <c r="T30" s="30">
        <v>4</v>
      </c>
      <c r="U30" s="30">
        <v>4</v>
      </c>
      <c r="V30" s="30">
        <v>4</v>
      </c>
      <c r="W30" s="30">
        <v>4</v>
      </c>
      <c r="X30" s="30">
        <v>4</v>
      </c>
      <c r="Y30" s="30">
        <v>4</v>
      </c>
      <c r="Z30" s="30">
        <v>4</v>
      </c>
      <c r="AA30" s="30">
        <v>4</v>
      </c>
      <c r="AB30" s="30">
        <v>4</v>
      </c>
      <c r="AC30" s="30">
        <v>4</v>
      </c>
      <c r="AD30" s="30">
        <v>4</v>
      </c>
      <c r="AE30" s="30">
        <v>4</v>
      </c>
      <c r="AF30" s="30">
        <v>4</v>
      </c>
      <c r="AG30" s="30">
        <v>4</v>
      </c>
      <c r="AH30" s="30">
        <v>4</v>
      </c>
      <c r="AI30" s="30">
        <v>4</v>
      </c>
      <c r="AJ30" s="30">
        <v>4</v>
      </c>
    </row>
    <row r="31" spans="1:69" ht="80.099999999999994" customHeight="1">
      <c r="A31" s="129" t="s">
        <v>1436</v>
      </c>
      <c r="B31" s="95" t="s">
        <v>1054</v>
      </c>
      <c r="C31" s="78" t="s">
        <v>73</v>
      </c>
      <c r="D31" s="96" t="s">
        <v>71</v>
      </c>
      <c r="E31" s="97"/>
      <c r="F31" s="81" t="s">
        <v>1082</v>
      </c>
      <c r="G31" s="25"/>
      <c r="H31" s="25"/>
      <c r="J31" s="30">
        <v>2</v>
      </c>
      <c r="K31" s="30">
        <v>2</v>
      </c>
      <c r="L31" s="30">
        <v>2</v>
      </c>
      <c r="M31" s="30">
        <v>2</v>
      </c>
      <c r="N31" s="30">
        <v>2</v>
      </c>
      <c r="O31" s="30">
        <v>2</v>
      </c>
      <c r="P31" s="30">
        <v>2</v>
      </c>
      <c r="Q31" s="30">
        <v>2</v>
      </c>
      <c r="R31" s="30">
        <v>2</v>
      </c>
      <c r="S31" s="30">
        <v>2</v>
      </c>
      <c r="T31" s="30">
        <v>2</v>
      </c>
      <c r="U31" s="30">
        <v>2</v>
      </c>
      <c r="V31" s="30">
        <v>2</v>
      </c>
      <c r="W31" s="30">
        <v>2</v>
      </c>
      <c r="X31" s="30">
        <v>2</v>
      </c>
      <c r="Y31" s="30">
        <v>2</v>
      </c>
      <c r="Z31" s="30">
        <v>2</v>
      </c>
      <c r="AA31" s="30">
        <v>2</v>
      </c>
      <c r="AB31" s="30">
        <v>1</v>
      </c>
      <c r="AC31" s="30">
        <f>0</f>
        <v>0</v>
      </c>
      <c r="AD31" s="30">
        <v>0</v>
      </c>
      <c r="AE31" s="30">
        <f>0+3</f>
        <v>3</v>
      </c>
      <c r="AF31" s="30">
        <f>0+2+0</f>
        <v>2</v>
      </c>
      <c r="AG31" s="30">
        <f>0+3+2</f>
        <v>5</v>
      </c>
      <c r="AH31" s="30">
        <f>1+3+1</f>
        <v>5</v>
      </c>
      <c r="AI31" s="30">
        <f>1+4</f>
        <v>5</v>
      </c>
      <c r="AJ31" s="30">
        <f>1+3</f>
        <v>4</v>
      </c>
    </row>
    <row r="32" spans="1:69" ht="72" customHeight="1">
      <c r="A32" s="130" t="s">
        <v>3</v>
      </c>
      <c r="B32" s="98"/>
      <c r="C32" s="75" t="s">
        <v>75</v>
      </c>
      <c r="D32" s="58" t="s">
        <v>74</v>
      </c>
      <c r="E32" s="76"/>
      <c r="F32" s="77" t="s">
        <v>76</v>
      </c>
      <c r="G32" s="25"/>
      <c r="H32" s="25"/>
      <c r="J32" s="30">
        <v>8</v>
      </c>
      <c r="K32" s="30">
        <v>8</v>
      </c>
      <c r="L32" s="30">
        <v>8</v>
      </c>
      <c r="M32" s="30">
        <v>8</v>
      </c>
      <c r="N32" s="30">
        <v>8</v>
      </c>
      <c r="O32" s="30">
        <v>8</v>
      </c>
      <c r="P32" s="30">
        <v>8</v>
      </c>
      <c r="Q32" s="30">
        <v>8</v>
      </c>
      <c r="R32" s="30">
        <v>8</v>
      </c>
      <c r="S32" s="30">
        <v>8</v>
      </c>
      <c r="T32" s="30">
        <v>8</v>
      </c>
      <c r="U32" s="30">
        <v>8</v>
      </c>
      <c r="V32" s="30">
        <v>8</v>
      </c>
      <c r="W32" s="30">
        <v>8</v>
      </c>
      <c r="X32" s="30">
        <v>8</v>
      </c>
      <c r="Y32" s="30">
        <v>8</v>
      </c>
      <c r="Z32" s="30">
        <v>8</v>
      </c>
      <c r="AA32" s="30">
        <v>8</v>
      </c>
      <c r="AB32" s="30">
        <v>8</v>
      </c>
      <c r="AC32" s="30">
        <v>8</v>
      </c>
      <c r="AD32" s="30">
        <v>8</v>
      </c>
      <c r="AE32" s="30">
        <v>8</v>
      </c>
      <c r="AF32" s="30">
        <v>8</v>
      </c>
      <c r="AG32" s="30">
        <v>8</v>
      </c>
      <c r="AH32" s="30">
        <v>8</v>
      </c>
      <c r="AI32" s="30">
        <v>8</v>
      </c>
      <c r="AJ32" s="30">
        <v>8</v>
      </c>
    </row>
    <row r="33" spans="1:36" ht="80.099999999999994" customHeight="1">
      <c r="A33" s="122" t="s">
        <v>8</v>
      </c>
      <c r="B33" s="74" t="s">
        <v>1070</v>
      </c>
      <c r="C33" s="78" t="s">
        <v>78</v>
      </c>
      <c r="D33" s="58" t="s">
        <v>77</v>
      </c>
      <c r="E33" s="76">
        <v>8</v>
      </c>
      <c r="F33" s="81" t="s">
        <v>1083</v>
      </c>
      <c r="G33" s="25"/>
      <c r="H33" s="25"/>
      <c r="J33" s="30">
        <v>3</v>
      </c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>
        <v>3</v>
      </c>
      <c r="Q33" s="30">
        <v>3</v>
      </c>
      <c r="R33" s="30">
        <v>3</v>
      </c>
      <c r="S33" s="30">
        <v>3</v>
      </c>
      <c r="T33" s="30">
        <v>3</v>
      </c>
      <c r="U33" s="30">
        <v>3</v>
      </c>
      <c r="V33" s="30">
        <v>3</v>
      </c>
      <c r="W33" s="30">
        <v>3</v>
      </c>
      <c r="X33" s="30">
        <v>3</v>
      </c>
      <c r="Y33" s="30">
        <v>3</v>
      </c>
      <c r="Z33" s="30">
        <v>3</v>
      </c>
      <c r="AA33" s="30">
        <v>3</v>
      </c>
      <c r="AB33" s="30">
        <v>3</v>
      </c>
      <c r="AC33" s="30">
        <v>3</v>
      </c>
      <c r="AD33" s="30">
        <v>3</v>
      </c>
      <c r="AE33" s="30">
        <v>3</v>
      </c>
      <c r="AF33" s="30">
        <v>3</v>
      </c>
      <c r="AG33" s="30">
        <v>3</v>
      </c>
      <c r="AH33" s="30">
        <v>3</v>
      </c>
      <c r="AI33" s="30">
        <v>3</v>
      </c>
      <c r="AJ33" s="30">
        <v>3</v>
      </c>
    </row>
    <row r="34" spans="1:36" ht="80.099999999999994" customHeight="1">
      <c r="A34" s="127" t="s">
        <v>17</v>
      </c>
      <c r="B34" s="86" t="s">
        <v>1055</v>
      </c>
      <c r="C34" s="84" t="s">
        <v>976</v>
      </c>
      <c r="D34" s="60" t="s">
        <v>79</v>
      </c>
      <c r="E34" s="76"/>
      <c r="F34" s="99" t="s">
        <v>80</v>
      </c>
      <c r="G34" s="25"/>
      <c r="H34" s="25"/>
      <c r="I34" s="30"/>
      <c r="J34" s="30">
        <v>12</v>
      </c>
      <c r="K34" s="30">
        <v>12</v>
      </c>
      <c r="L34" s="30">
        <v>11</v>
      </c>
      <c r="M34" s="30">
        <f>10</f>
        <v>10</v>
      </c>
      <c r="N34" s="30">
        <v>10</v>
      </c>
      <c r="O34" s="30">
        <f>9</f>
        <v>9</v>
      </c>
      <c r="P34" s="30">
        <v>9</v>
      </c>
      <c r="Q34" s="30">
        <v>9</v>
      </c>
      <c r="R34" s="30">
        <f>7+1</f>
        <v>8</v>
      </c>
      <c r="S34" s="30">
        <v>9</v>
      </c>
      <c r="T34" s="30">
        <v>9</v>
      </c>
      <c r="U34" s="30">
        <v>9</v>
      </c>
      <c r="V34" s="30">
        <v>9</v>
      </c>
      <c r="W34" s="30">
        <v>8</v>
      </c>
      <c r="X34" s="30">
        <v>6</v>
      </c>
      <c r="Y34" s="30">
        <f>4</f>
        <v>4</v>
      </c>
      <c r="Z34" s="30">
        <f>4+5</f>
        <v>9</v>
      </c>
      <c r="AA34" s="30">
        <v>8</v>
      </c>
      <c r="AB34" s="30">
        <v>8</v>
      </c>
      <c r="AC34" s="30">
        <v>8</v>
      </c>
      <c r="AD34" s="30">
        <v>9</v>
      </c>
      <c r="AE34" s="30">
        <v>8</v>
      </c>
      <c r="AF34" s="30">
        <f>6+1</f>
        <v>7</v>
      </c>
      <c r="AG34" s="30">
        <v>4</v>
      </c>
      <c r="AH34" s="30">
        <f>3+10</f>
        <v>13</v>
      </c>
      <c r="AI34" s="30">
        <f>4+9</f>
        <v>13</v>
      </c>
      <c r="AJ34" s="30">
        <f>6+7</f>
        <v>13</v>
      </c>
    </row>
    <row r="35" spans="1:36" ht="80.099999999999994" customHeight="1">
      <c r="A35" s="127" t="s">
        <v>1405</v>
      </c>
      <c r="B35" s="86"/>
      <c r="C35" s="100" t="s">
        <v>82</v>
      </c>
      <c r="D35" s="60" t="s">
        <v>81</v>
      </c>
      <c r="E35" s="76"/>
      <c r="F35" s="81" t="s">
        <v>1084</v>
      </c>
      <c r="G35" s="25"/>
      <c r="H35" s="25"/>
      <c r="I35" s="30"/>
      <c r="J35" s="30">
        <v>1</v>
      </c>
      <c r="K35" s="30">
        <v>1</v>
      </c>
      <c r="L35" s="30">
        <v>1</v>
      </c>
      <c r="M35" s="30">
        <v>1</v>
      </c>
      <c r="N35" s="30">
        <v>1</v>
      </c>
      <c r="O35" s="30">
        <v>1</v>
      </c>
      <c r="P35" s="30">
        <v>1</v>
      </c>
      <c r="Q35" s="30">
        <v>1</v>
      </c>
      <c r="R35" s="30">
        <f>0+1</f>
        <v>1</v>
      </c>
      <c r="S35" s="30">
        <f>0+10</f>
        <v>10</v>
      </c>
      <c r="T35" s="30">
        <f>0+10</f>
        <v>10</v>
      </c>
      <c r="U35" s="30">
        <f>6+2</f>
        <v>8</v>
      </c>
      <c r="V35" s="30">
        <v>8</v>
      </c>
      <c r="W35" s="30">
        <v>7</v>
      </c>
      <c r="X35" s="30">
        <v>6</v>
      </c>
      <c r="Y35" s="30">
        <v>6</v>
      </c>
      <c r="Z35" s="30">
        <f>6+3</f>
        <v>9</v>
      </c>
      <c r="AA35" s="30">
        <v>9</v>
      </c>
      <c r="AB35" s="30">
        <v>8</v>
      </c>
      <c r="AC35" s="30">
        <v>8</v>
      </c>
      <c r="AD35" s="30">
        <v>8</v>
      </c>
      <c r="AE35" s="30">
        <v>8</v>
      </c>
      <c r="AF35" s="30">
        <v>8</v>
      </c>
      <c r="AG35" s="30">
        <v>8</v>
      </c>
      <c r="AH35" s="30">
        <v>8</v>
      </c>
      <c r="AI35" s="30">
        <v>8</v>
      </c>
      <c r="AJ35" s="30">
        <v>8</v>
      </c>
    </row>
    <row r="36" spans="1:36" s="30" customFormat="1" ht="80.099999999999994" customHeight="1">
      <c r="A36" s="128" t="s">
        <v>8</v>
      </c>
      <c r="B36" s="91" t="s">
        <v>1054</v>
      </c>
      <c r="C36" s="78" t="s">
        <v>84</v>
      </c>
      <c r="D36" s="64" t="s">
        <v>83</v>
      </c>
      <c r="E36" s="92">
        <v>6</v>
      </c>
      <c r="F36" s="77" t="s">
        <v>85</v>
      </c>
      <c r="G36" s="29"/>
      <c r="H36" s="29"/>
      <c r="I36" s="23"/>
      <c r="J36" s="30">
        <v>6</v>
      </c>
      <c r="K36" s="30">
        <v>6</v>
      </c>
      <c r="L36" s="30">
        <v>6</v>
      </c>
      <c r="M36" s="30">
        <v>6</v>
      </c>
      <c r="N36" s="30">
        <v>6</v>
      </c>
      <c r="O36" s="30">
        <v>6</v>
      </c>
      <c r="P36" s="30">
        <v>6</v>
      </c>
      <c r="Q36" s="30">
        <v>6</v>
      </c>
      <c r="R36" s="30">
        <v>5</v>
      </c>
      <c r="S36" s="30">
        <v>5</v>
      </c>
      <c r="T36" s="30">
        <v>5</v>
      </c>
      <c r="U36" s="30">
        <v>5</v>
      </c>
      <c r="V36" s="30">
        <v>4</v>
      </c>
      <c r="W36" s="30">
        <v>2</v>
      </c>
      <c r="X36" s="30">
        <f>2+5+1</f>
        <v>8</v>
      </c>
      <c r="Y36" s="30">
        <v>8</v>
      </c>
      <c r="Z36" s="30">
        <v>8</v>
      </c>
      <c r="AA36" s="30">
        <v>8</v>
      </c>
      <c r="AB36" s="30">
        <v>8</v>
      </c>
      <c r="AC36" s="30">
        <v>8</v>
      </c>
      <c r="AD36" s="30">
        <v>8</v>
      </c>
      <c r="AE36" s="30">
        <v>8</v>
      </c>
      <c r="AF36" s="30">
        <v>8</v>
      </c>
      <c r="AG36" s="30">
        <v>8</v>
      </c>
      <c r="AH36" s="30">
        <v>8</v>
      </c>
      <c r="AI36" s="30">
        <v>8</v>
      </c>
      <c r="AJ36" s="30">
        <v>8</v>
      </c>
    </row>
    <row r="37" spans="1:36" s="30" customFormat="1" ht="80.099999999999994" customHeight="1">
      <c r="A37" s="128" t="s">
        <v>8</v>
      </c>
      <c r="B37" s="91" t="s">
        <v>1052</v>
      </c>
      <c r="C37" s="78" t="s">
        <v>913</v>
      </c>
      <c r="D37" s="64" t="s">
        <v>86</v>
      </c>
      <c r="E37" s="92">
        <v>9</v>
      </c>
      <c r="F37" s="77" t="s">
        <v>87</v>
      </c>
      <c r="G37" s="29"/>
      <c r="H37" s="29"/>
      <c r="I37" s="23"/>
      <c r="J37" s="30">
        <f>11+62</f>
        <v>73</v>
      </c>
      <c r="K37" s="30">
        <f>32+37</f>
        <v>69</v>
      </c>
      <c r="L37" s="30">
        <f>31+33</f>
        <v>64</v>
      </c>
      <c r="M37" s="30">
        <f>51+12</f>
        <v>63</v>
      </c>
      <c r="N37" s="30">
        <f>44+6</f>
        <v>50</v>
      </c>
      <c r="O37" s="30">
        <f>51+4</f>
        <v>55</v>
      </c>
      <c r="P37" s="30">
        <f>50+4</f>
        <v>54</v>
      </c>
      <c r="Q37" s="30">
        <f>45+4</f>
        <v>49</v>
      </c>
      <c r="R37" s="30">
        <f>37+3</f>
        <v>40</v>
      </c>
      <c r="S37" s="30">
        <f>27+1</f>
        <v>28</v>
      </c>
      <c r="T37" s="30">
        <f>15+20+1</f>
        <v>36</v>
      </c>
      <c r="U37" s="30">
        <f>10+20</f>
        <v>30</v>
      </c>
      <c r="V37" s="30">
        <f>0+50+3</f>
        <v>53</v>
      </c>
      <c r="W37" s="30">
        <f>35+2</f>
        <v>37</v>
      </c>
      <c r="X37" s="30">
        <f>31+20+3</f>
        <v>54</v>
      </c>
      <c r="Y37" s="30">
        <f>28+20+2</f>
        <v>50</v>
      </c>
      <c r="Z37" s="30">
        <f>25+20+3</f>
        <v>48</v>
      </c>
      <c r="AA37" s="30">
        <f>30+10</f>
        <v>40</v>
      </c>
      <c r="AB37" s="30">
        <f>29+2</f>
        <v>31</v>
      </c>
      <c r="AC37" s="30">
        <f>21+5</f>
        <v>26</v>
      </c>
      <c r="AD37" s="30">
        <f>16+20</f>
        <v>36</v>
      </c>
      <c r="AE37" s="30">
        <f>20+15</f>
        <v>35</v>
      </c>
      <c r="AF37" s="30">
        <f>28+2</f>
        <v>30</v>
      </c>
      <c r="AG37" s="30">
        <f>29+20</f>
        <v>49</v>
      </c>
      <c r="AH37" s="30">
        <f>25+20+1</f>
        <v>46</v>
      </c>
      <c r="AI37" s="30">
        <f>26+17</f>
        <v>43</v>
      </c>
      <c r="AJ37" s="30">
        <f>23+16</f>
        <v>39</v>
      </c>
    </row>
    <row r="38" spans="1:36" ht="80.099999999999994" customHeight="1">
      <c r="A38" s="122" t="s">
        <v>8</v>
      </c>
      <c r="B38" s="74" t="s">
        <v>1412</v>
      </c>
      <c r="C38" s="78" t="s">
        <v>89</v>
      </c>
      <c r="D38" s="58" t="s">
        <v>88</v>
      </c>
      <c r="E38" s="76">
        <v>7</v>
      </c>
      <c r="F38" s="77" t="s">
        <v>90</v>
      </c>
      <c r="G38" s="25"/>
      <c r="H38" s="25"/>
      <c r="J38" s="30">
        <v>1</v>
      </c>
      <c r="K38" s="30">
        <v>1</v>
      </c>
      <c r="L38" s="30">
        <v>1</v>
      </c>
      <c r="M38" s="30">
        <v>1</v>
      </c>
      <c r="N38" s="30">
        <v>1</v>
      </c>
      <c r="O38" s="30">
        <v>1</v>
      </c>
      <c r="P38" s="30">
        <v>1</v>
      </c>
      <c r="Q38" s="30">
        <v>1</v>
      </c>
      <c r="R38" s="30">
        <v>1</v>
      </c>
      <c r="S38" s="30">
        <v>1</v>
      </c>
      <c r="T38" s="30">
        <v>1</v>
      </c>
      <c r="U38" s="30">
        <v>1</v>
      </c>
      <c r="V38" s="30">
        <v>1</v>
      </c>
      <c r="W38" s="30">
        <v>1</v>
      </c>
      <c r="X38" s="30">
        <v>1</v>
      </c>
      <c r="Y38" s="30">
        <v>1</v>
      </c>
      <c r="Z38" s="30">
        <v>1</v>
      </c>
      <c r="AA38" s="30">
        <v>1</v>
      </c>
      <c r="AB38" s="30">
        <v>1</v>
      </c>
      <c r="AC38" s="30">
        <v>1</v>
      </c>
      <c r="AD38" s="30">
        <v>1</v>
      </c>
      <c r="AE38" s="30">
        <v>1</v>
      </c>
      <c r="AF38" s="30">
        <v>1</v>
      </c>
      <c r="AG38" s="30">
        <v>1</v>
      </c>
      <c r="AH38" s="30">
        <v>1</v>
      </c>
      <c r="AI38" s="30">
        <v>1</v>
      </c>
      <c r="AJ38" s="30">
        <v>1</v>
      </c>
    </row>
    <row r="39" spans="1:36" ht="80.099999999999994" customHeight="1">
      <c r="A39" s="129" t="s">
        <v>1404</v>
      </c>
      <c r="B39" s="95"/>
      <c r="C39" s="78" t="s">
        <v>92</v>
      </c>
      <c r="D39" s="58" t="s">
        <v>91</v>
      </c>
      <c r="E39" s="76"/>
      <c r="F39" s="77" t="s">
        <v>93</v>
      </c>
      <c r="G39" s="25"/>
      <c r="H39" s="25"/>
      <c r="J39" s="30">
        <f>0+3</f>
        <v>3</v>
      </c>
      <c r="K39" s="30">
        <f>1+1</f>
        <v>2</v>
      </c>
      <c r="L39" s="30">
        <f>0+1</f>
        <v>1</v>
      </c>
      <c r="M39" s="30">
        <v>0</v>
      </c>
      <c r="N39" s="30">
        <f>0+20</f>
        <v>20</v>
      </c>
      <c r="O39" s="30">
        <f>0+20</f>
        <v>20</v>
      </c>
      <c r="P39" s="30">
        <f>0+20</f>
        <v>20</v>
      </c>
      <c r="Q39" s="30">
        <f>0+20</f>
        <v>20</v>
      </c>
      <c r="R39" s="30">
        <f>0+17</f>
        <v>17</v>
      </c>
      <c r="S39" s="30">
        <f>0+17</f>
        <v>17</v>
      </c>
      <c r="T39" s="30">
        <f>0+16</f>
        <v>16</v>
      </c>
      <c r="U39" s="30">
        <f>16+2</f>
        <v>18</v>
      </c>
      <c r="V39" s="30">
        <f>15+2</f>
        <v>17</v>
      </c>
      <c r="W39" s="30">
        <v>10</v>
      </c>
      <c r="X39" s="30">
        <v>9</v>
      </c>
      <c r="Y39" s="30">
        <v>9</v>
      </c>
      <c r="Z39" s="30">
        <f>8+1</f>
        <v>9</v>
      </c>
      <c r="AA39" s="30">
        <v>7</v>
      </c>
      <c r="AB39" s="30">
        <v>7</v>
      </c>
      <c r="AC39" s="30">
        <v>6</v>
      </c>
      <c r="AD39" s="30">
        <f>4+2</f>
        <v>6</v>
      </c>
      <c r="AE39" s="30">
        <f>2+5+0</f>
        <v>7</v>
      </c>
      <c r="AF39" s="30">
        <f>0+14+0</f>
        <v>14</v>
      </c>
      <c r="AG39" s="30">
        <f>10+4</f>
        <v>14</v>
      </c>
      <c r="AH39" s="30">
        <v>6</v>
      </c>
      <c r="AI39" s="30">
        <f>9+1</f>
        <v>10</v>
      </c>
      <c r="AJ39" s="30">
        <f>8+20</f>
        <v>28</v>
      </c>
    </row>
    <row r="40" spans="1:36" ht="80.099999999999994" customHeight="1">
      <c r="A40" s="131" t="s">
        <v>17</v>
      </c>
      <c r="B40" s="101"/>
      <c r="C40" s="84" t="s">
        <v>977</v>
      </c>
      <c r="D40" s="64" t="s">
        <v>94</v>
      </c>
      <c r="E40" s="85"/>
      <c r="F40" s="77" t="s">
        <v>95</v>
      </c>
      <c r="G40" s="29"/>
      <c r="H40" s="29"/>
      <c r="J40" s="30">
        <f>0+80</f>
        <v>80</v>
      </c>
      <c r="K40" s="30">
        <f>0+72</f>
        <v>72</v>
      </c>
      <c r="L40" s="30">
        <f>0+66</f>
        <v>66</v>
      </c>
      <c r="M40" s="30">
        <f>0+75</f>
        <v>75</v>
      </c>
      <c r="N40" s="30">
        <f>0+52</f>
        <v>52</v>
      </c>
      <c r="O40" s="30">
        <f>0+43</f>
        <v>43</v>
      </c>
      <c r="P40" s="30">
        <f>3+34</f>
        <v>37</v>
      </c>
      <c r="Q40" s="30">
        <f>3+24</f>
        <v>27</v>
      </c>
      <c r="R40" s="30">
        <f>0+1</f>
        <v>1</v>
      </c>
      <c r="S40" s="30">
        <f>0+1</f>
        <v>1</v>
      </c>
      <c r="T40" s="30">
        <f>0+150+20</f>
        <v>170</v>
      </c>
      <c r="U40" s="30">
        <f>0+150+3</f>
        <v>153</v>
      </c>
      <c r="V40" s="30">
        <f>0+150+2</f>
        <v>152</v>
      </c>
      <c r="W40" s="30">
        <f>117+5</f>
        <v>122</v>
      </c>
      <c r="X40" s="30">
        <f>87+8</f>
        <v>95</v>
      </c>
      <c r="Y40" s="30">
        <f>82+5</f>
        <v>87</v>
      </c>
      <c r="Z40" s="30">
        <f>82+50+1</f>
        <v>133</v>
      </c>
      <c r="AA40" s="30">
        <f>69+55</f>
        <v>124</v>
      </c>
      <c r="AB40" s="30">
        <f>77+31</f>
        <v>108</v>
      </c>
      <c r="AC40" s="30">
        <f>87+4</f>
        <v>91</v>
      </c>
      <c r="AD40" s="30">
        <f>63+6</f>
        <v>69</v>
      </c>
      <c r="AE40" s="30">
        <f>41+48+8</f>
        <v>97</v>
      </c>
      <c r="AF40" s="30">
        <f>25+48+4</f>
        <v>77</v>
      </c>
      <c r="AG40" s="30">
        <f>13+50+47</f>
        <v>110</v>
      </c>
      <c r="AH40" s="30">
        <f>18+50+22</f>
        <v>90</v>
      </c>
      <c r="AI40" s="30">
        <f>31+51</f>
        <v>82</v>
      </c>
      <c r="AJ40" s="30">
        <f>29+34+41</f>
        <v>104</v>
      </c>
    </row>
    <row r="41" spans="1:36" s="30" customFormat="1" ht="80.099999999999994" customHeight="1">
      <c r="A41" s="122" t="s">
        <v>8</v>
      </c>
      <c r="B41" s="74" t="s">
        <v>1056</v>
      </c>
      <c r="C41" s="78" t="s">
        <v>914</v>
      </c>
      <c r="D41" s="58" t="s">
        <v>96</v>
      </c>
      <c r="E41" s="94">
        <v>8</v>
      </c>
      <c r="F41" s="77" t="s">
        <v>97</v>
      </c>
      <c r="G41" s="25"/>
      <c r="H41" s="25"/>
      <c r="I41" s="23"/>
      <c r="J41" s="30">
        <v>8</v>
      </c>
      <c r="K41" s="30">
        <v>8</v>
      </c>
      <c r="L41" s="30">
        <f>7</f>
        <v>7</v>
      </c>
      <c r="M41" s="30">
        <f>7</f>
        <v>7</v>
      </c>
      <c r="N41" s="30">
        <f>4+2</f>
        <v>6</v>
      </c>
      <c r="O41" s="30">
        <f>3+1</f>
        <v>4</v>
      </c>
      <c r="P41" s="30">
        <v>4</v>
      </c>
      <c r="Q41" s="30">
        <f>0+9+2</f>
        <v>11</v>
      </c>
      <c r="R41" s="30">
        <v>8</v>
      </c>
      <c r="S41" s="30">
        <f>7+1</f>
        <v>8</v>
      </c>
      <c r="T41" s="30">
        <f>5+7</f>
        <v>12</v>
      </c>
      <c r="U41" s="30">
        <f>1+7</f>
        <v>8</v>
      </c>
      <c r="V41" s="30">
        <v>9</v>
      </c>
      <c r="W41" s="30">
        <f>4+0</f>
        <v>4</v>
      </c>
      <c r="X41" s="30">
        <f>4+5</f>
        <v>9</v>
      </c>
      <c r="Y41" s="30">
        <v>8</v>
      </c>
      <c r="Z41" s="30">
        <v>6</v>
      </c>
      <c r="AA41" s="30">
        <f>4+1</f>
        <v>5</v>
      </c>
      <c r="AB41" s="30">
        <f>1+1</f>
        <v>2</v>
      </c>
      <c r="AC41" s="30">
        <v>1</v>
      </c>
      <c r="AD41" s="30">
        <f>1+10</f>
        <v>11</v>
      </c>
      <c r="AE41" s="30">
        <f>2+7</f>
        <v>9</v>
      </c>
      <c r="AF41" s="30">
        <f>4+1</f>
        <v>5</v>
      </c>
      <c r="AG41" s="30">
        <f>5+10</f>
        <v>15</v>
      </c>
      <c r="AH41" s="30">
        <f>2+10</f>
        <v>12</v>
      </c>
      <c r="AI41" s="30">
        <f>2+8</f>
        <v>10</v>
      </c>
      <c r="AJ41" s="30">
        <f>0+7</f>
        <v>7</v>
      </c>
    </row>
    <row r="42" spans="1:36" ht="80.099999999999994" customHeight="1">
      <c r="A42" s="132" t="s">
        <v>3</v>
      </c>
      <c r="B42" s="102"/>
      <c r="C42" s="75" t="s">
        <v>99</v>
      </c>
      <c r="D42" s="58" t="s">
        <v>98</v>
      </c>
      <c r="E42" s="94"/>
      <c r="F42" s="77" t="s">
        <v>100</v>
      </c>
      <c r="G42" s="25"/>
      <c r="H42" s="25"/>
      <c r="J42" s="30">
        <v>29</v>
      </c>
      <c r="K42" s="30">
        <v>29</v>
      </c>
      <c r="L42" s="30">
        <v>29</v>
      </c>
      <c r="M42" s="30">
        <v>29</v>
      </c>
      <c r="N42" s="30">
        <v>29</v>
      </c>
      <c r="O42" s="30">
        <v>29</v>
      </c>
      <c r="P42" s="30">
        <v>29</v>
      </c>
      <c r="Q42" s="30">
        <v>29</v>
      </c>
      <c r="R42" s="30">
        <v>29</v>
      </c>
      <c r="S42" s="30">
        <f>28+1</f>
        <v>29</v>
      </c>
      <c r="T42" s="30">
        <v>28</v>
      </c>
      <c r="U42" s="30">
        <v>28</v>
      </c>
      <c r="V42" s="30">
        <v>28</v>
      </c>
      <c r="W42" s="30">
        <v>28</v>
      </c>
      <c r="X42" s="30">
        <v>28</v>
      </c>
      <c r="Y42" s="30">
        <v>28</v>
      </c>
      <c r="Z42" s="30">
        <v>28</v>
      </c>
      <c r="AA42" s="30">
        <v>28</v>
      </c>
      <c r="AB42" s="30">
        <v>28</v>
      </c>
      <c r="AC42" s="30">
        <v>28</v>
      </c>
      <c r="AD42" s="30">
        <v>28</v>
      </c>
      <c r="AE42" s="30">
        <v>28</v>
      </c>
      <c r="AF42" s="30">
        <v>28</v>
      </c>
      <c r="AG42" s="30">
        <v>28</v>
      </c>
      <c r="AH42" s="30">
        <v>27</v>
      </c>
      <c r="AI42" s="30">
        <v>27</v>
      </c>
      <c r="AJ42" s="30">
        <v>27</v>
      </c>
    </row>
    <row r="43" spans="1:36" ht="80.099999999999994" customHeight="1">
      <c r="A43" s="128" t="s">
        <v>8</v>
      </c>
      <c r="B43" s="91" t="s">
        <v>1061</v>
      </c>
      <c r="C43" s="78" t="s">
        <v>102</v>
      </c>
      <c r="D43" s="58" t="s">
        <v>101</v>
      </c>
      <c r="E43" s="92">
        <v>6</v>
      </c>
      <c r="F43" s="77" t="s">
        <v>103</v>
      </c>
      <c r="G43" s="29"/>
      <c r="H43" s="29"/>
      <c r="J43" s="30">
        <v>10</v>
      </c>
      <c r="K43" s="30">
        <v>10</v>
      </c>
      <c r="L43" s="30">
        <v>10</v>
      </c>
      <c r="M43" s="30">
        <f>8</f>
        <v>8</v>
      </c>
      <c r="N43" s="30">
        <v>9</v>
      </c>
      <c r="O43" s="30">
        <v>9</v>
      </c>
      <c r="P43" s="30">
        <v>9</v>
      </c>
      <c r="Q43" s="30">
        <v>9</v>
      </c>
      <c r="R43" s="30">
        <v>7</v>
      </c>
      <c r="S43" s="30">
        <v>7</v>
      </c>
      <c r="T43" s="30">
        <v>7</v>
      </c>
      <c r="U43" s="30">
        <v>7</v>
      </c>
      <c r="V43" s="30">
        <v>7</v>
      </c>
      <c r="W43" s="30">
        <f>0+1</f>
        <v>1</v>
      </c>
      <c r="X43" s="30">
        <f>0+10</f>
        <v>10</v>
      </c>
      <c r="Y43" s="30">
        <v>9</v>
      </c>
      <c r="Z43" s="30">
        <v>9</v>
      </c>
      <c r="AA43" s="30">
        <v>10</v>
      </c>
      <c r="AB43" s="30">
        <v>8</v>
      </c>
      <c r="AC43" s="30">
        <v>7</v>
      </c>
      <c r="AD43" s="30">
        <f>3+1</f>
        <v>4</v>
      </c>
      <c r="AE43" s="30">
        <f>3+5</f>
        <v>8</v>
      </c>
      <c r="AF43" s="30">
        <f>3+5</f>
        <v>8</v>
      </c>
      <c r="AG43" s="30">
        <f>4+4</f>
        <v>8</v>
      </c>
      <c r="AH43" s="30">
        <f>7+1</f>
        <v>8</v>
      </c>
      <c r="AI43" s="30">
        <v>7</v>
      </c>
      <c r="AJ43" s="30">
        <v>6</v>
      </c>
    </row>
    <row r="44" spans="1:36" ht="80.099999999999994" customHeight="1">
      <c r="A44" s="127" t="s">
        <v>8</v>
      </c>
      <c r="B44" s="86" t="s">
        <v>1057</v>
      </c>
      <c r="C44" s="78" t="s">
        <v>906</v>
      </c>
      <c r="D44" s="96" t="s">
        <v>104</v>
      </c>
      <c r="E44" s="94">
        <v>9</v>
      </c>
      <c r="F44" s="77" t="s">
        <v>106</v>
      </c>
      <c r="G44" s="25"/>
      <c r="H44" s="25"/>
      <c r="J44" s="30">
        <f>4</f>
        <v>4</v>
      </c>
      <c r="K44" s="30">
        <v>4</v>
      </c>
      <c r="L44" s="30">
        <v>4</v>
      </c>
      <c r="M44" s="30">
        <v>4</v>
      </c>
      <c r="N44" s="30">
        <f>3+6+1</f>
        <v>10</v>
      </c>
      <c r="O44" s="30">
        <f>2+6</f>
        <v>8</v>
      </c>
      <c r="P44" s="30">
        <f>1+6</f>
        <v>7</v>
      </c>
      <c r="Q44" s="30">
        <f>1+11</f>
        <v>12</v>
      </c>
      <c r="R44" s="30">
        <f>2+6+1</f>
        <v>9</v>
      </c>
      <c r="S44" s="30">
        <f>1+6+1</f>
        <v>8</v>
      </c>
      <c r="T44" s="30">
        <f>9+5</f>
        <v>14</v>
      </c>
      <c r="U44" s="30">
        <f>9+5</f>
        <v>14</v>
      </c>
      <c r="V44" s="30">
        <v>13</v>
      </c>
      <c r="W44" s="30">
        <v>11</v>
      </c>
      <c r="X44" s="30">
        <v>11</v>
      </c>
      <c r="Y44" s="30">
        <f>10+1</f>
        <v>11</v>
      </c>
      <c r="Z44" s="30">
        <f>8+1</f>
        <v>9</v>
      </c>
      <c r="AA44" s="30">
        <v>8</v>
      </c>
      <c r="AB44" s="30">
        <v>8</v>
      </c>
      <c r="AC44" s="30">
        <v>7</v>
      </c>
      <c r="AD44" s="30">
        <f>7+1</f>
        <v>8</v>
      </c>
      <c r="AE44" s="30">
        <f>6+5</f>
        <v>11</v>
      </c>
      <c r="AF44" s="30">
        <f>6+5</f>
        <v>11</v>
      </c>
      <c r="AG44" s="30">
        <f>6+5</f>
        <v>11</v>
      </c>
      <c r="AH44" s="30">
        <f>9+1</f>
        <v>10</v>
      </c>
      <c r="AI44" s="30">
        <f>9+1</f>
        <v>10</v>
      </c>
      <c r="AJ44" s="30">
        <v>9</v>
      </c>
    </row>
    <row r="45" spans="1:36" ht="80.099999999999994" customHeight="1">
      <c r="A45" s="125" t="s">
        <v>1406</v>
      </c>
      <c r="B45" s="79"/>
      <c r="C45" s="78" t="s">
        <v>108</v>
      </c>
      <c r="D45" s="60" t="s">
        <v>107</v>
      </c>
      <c r="E45" s="76"/>
      <c r="F45" s="77" t="s">
        <v>109</v>
      </c>
      <c r="G45" s="25"/>
      <c r="H45" s="25"/>
      <c r="J45" s="30">
        <v>16</v>
      </c>
      <c r="K45" s="30">
        <v>16</v>
      </c>
      <c r="L45" s="30">
        <v>16</v>
      </c>
      <c r="M45" s="30">
        <v>16</v>
      </c>
      <c r="N45" s="30">
        <v>15</v>
      </c>
      <c r="O45" s="30">
        <v>15</v>
      </c>
      <c r="P45" s="30">
        <v>15</v>
      </c>
      <c r="Q45" s="30">
        <v>15</v>
      </c>
      <c r="R45" s="30">
        <v>13</v>
      </c>
      <c r="S45" s="30">
        <f>11+1</f>
        <v>12</v>
      </c>
      <c r="T45" s="30">
        <v>11</v>
      </c>
      <c r="U45" s="30">
        <v>10</v>
      </c>
      <c r="V45" s="30">
        <v>10</v>
      </c>
      <c r="W45" s="30">
        <v>9</v>
      </c>
      <c r="X45" s="30">
        <v>9</v>
      </c>
      <c r="Y45" s="30">
        <v>10</v>
      </c>
      <c r="Z45" s="30">
        <v>10</v>
      </c>
      <c r="AA45" s="30">
        <v>9</v>
      </c>
      <c r="AB45" s="30">
        <v>9</v>
      </c>
      <c r="AC45" s="30">
        <v>9</v>
      </c>
      <c r="AD45" s="30">
        <v>9</v>
      </c>
      <c r="AE45" s="30">
        <v>9</v>
      </c>
      <c r="AF45" s="30">
        <v>9</v>
      </c>
      <c r="AG45" s="30">
        <v>9</v>
      </c>
      <c r="AH45" s="30">
        <v>9</v>
      </c>
      <c r="AI45" s="30">
        <v>9</v>
      </c>
      <c r="AJ45" s="30">
        <v>9</v>
      </c>
    </row>
    <row r="46" spans="1:36" ht="80.099999999999994" customHeight="1">
      <c r="A46" s="128" t="s">
        <v>1436</v>
      </c>
      <c r="B46" s="91" t="s">
        <v>1061</v>
      </c>
      <c r="C46" s="78" t="s">
        <v>111</v>
      </c>
      <c r="D46" s="56" t="s">
        <v>110</v>
      </c>
      <c r="E46" s="92"/>
      <c r="F46" s="77" t="s">
        <v>112</v>
      </c>
      <c r="G46" s="29"/>
      <c r="H46" s="29"/>
      <c r="J46" s="32">
        <f>0+3</f>
        <v>3</v>
      </c>
      <c r="K46" s="32">
        <f>0+3</f>
        <v>3</v>
      </c>
      <c r="L46" s="32">
        <f>0+3</f>
        <v>3</v>
      </c>
      <c r="M46" s="32">
        <f>0+3</f>
        <v>3</v>
      </c>
      <c r="N46" s="32">
        <f>0+3</f>
        <v>3</v>
      </c>
      <c r="O46" s="32">
        <f>0+3</f>
        <v>3</v>
      </c>
      <c r="P46" s="32">
        <v>3</v>
      </c>
      <c r="Q46" s="30">
        <v>3</v>
      </c>
      <c r="R46" s="30">
        <v>3</v>
      </c>
      <c r="S46" s="30">
        <v>3</v>
      </c>
      <c r="T46" s="30">
        <v>3</v>
      </c>
      <c r="U46" s="30">
        <v>3</v>
      </c>
      <c r="V46" s="30">
        <v>3</v>
      </c>
      <c r="W46" s="30">
        <v>1</v>
      </c>
      <c r="X46" s="30">
        <f>1+5</f>
        <v>6</v>
      </c>
      <c r="Y46" s="30">
        <v>6</v>
      </c>
      <c r="Z46" s="30">
        <v>6</v>
      </c>
      <c r="AA46" s="30">
        <v>6</v>
      </c>
      <c r="AB46" s="30">
        <v>5</v>
      </c>
      <c r="AC46" s="30">
        <v>5</v>
      </c>
      <c r="AD46" s="30">
        <v>5</v>
      </c>
      <c r="AE46" s="30">
        <v>5</v>
      </c>
      <c r="AF46" s="30">
        <v>5</v>
      </c>
      <c r="AG46" s="30">
        <v>5</v>
      </c>
      <c r="AH46" s="30">
        <v>5</v>
      </c>
      <c r="AI46" s="30">
        <v>5</v>
      </c>
      <c r="AJ46" s="30">
        <v>5</v>
      </c>
    </row>
    <row r="47" spans="1:36" ht="80.099999999999994" customHeight="1">
      <c r="A47" s="131" t="s">
        <v>8</v>
      </c>
      <c r="B47" s="101" t="s">
        <v>1058</v>
      </c>
      <c r="C47" s="78" t="s">
        <v>114</v>
      </c>
      <c r="D47" s="58" t="s">
        <v>113</v>
      </c>
      <c r="E47" s="92">
        <v>9</v>
      </c>
      <c r="F47" s="77" t="s">
        <v>115</v>
      </c>
      <c r="G47" s="29"/>
      <c r="H47" s="29"/>
      <c r="J47" s="30">
        <v>7</v>
      </c>
      <c r="K47" s="30">
        <v>7</v>
      </c>
      <c r="L47" s="30">
        <v>7</v>
      </c>
      <c r="M47" s="30">
        <v>7</v>
      </c>
      <c r="N47" s="30">
        <v>6</v>
      </c>
      <c r="O47" s="30">
        <v>6</v>
      </c>
      <c r="P47" s="30">
        <v>6</v>
      </c>
      <c r="Q47" s="30">
        <v>6</v>
      </c>
      <c r="R47" s="30">
        <v>6</v>
      </c>
      <c r="S47" s="30">
        <v>6</v>
      </c>
      <c r="T47" s="30">
        <v>6</v>
      </c>
      <c r="U47" s="30">
        <v>5</v>
      </c>
      <c r="V47" s="30">
        <v>5</v>
      </c>
      <c r="W47" s="30">
        <v>5</v>
      </c>
      <c r="X47" s="30">
        <v>5</v>
      </c>
      <c r="Y47" s="30">
        <v>5</v>
      </c>
      <c r="Z47" s="30">
        <v>5</v>
      </c>
      <c r="AA47" s="30">
        <v>4</v>
      </c>
      <c r="AB47" s="30">
        <v>4</v>
      </c>
      <c r="AC47" s="30">
        <v>4</v>
      </c>
      <c r="AD47" s="30">
        <v>3</v>
      </c>
      <c r="AE47" s="30">
        <f>2+5</f>
        <v>7</v>
      </c>
      <c r="AF47" s="30">
        <f>2+5</f>
        <v>7</v>
      </c>
      <c r="AG47" s="30">
        <f>2+5</f>
        <v>7</v>
      </c>
      <c r="AH47" s="30">
        <f>4+2</f>
        <v>6</v>
      </c>
      <c r="AI47" s="30">
        <v>6</v>
      </c>
      <c r="AJ47" s="30">
        <v>6</v>
      </c>
    </row>
    <row r="48" spans="1:36" ht="80.099999999999994" customHeight="1">
      <c r="A48" s="128" t="s">
        <v>8</v>
      </c>
      <c r="B48" s="91" t="s">
        <v>1054</v>
      </c>
      <c r="C48" s="78" t="s">
        <v>992</v>
      </c>
      <c r="D48" s="64" t="s">
        <v>116</v>
      </c>
      <c r="E48" s="92">
        <v>8</v>
      </c>
      <c r="F48" s="77" t="s">
        <v>117</v>
      </c>
      <c r="G48" s="29"/>
      <c r="H48" s="29"/>
      <c r="J48" s="30">
        <v>8</v>
      </c>
      <c r="K48" s="30">
        <v>8</v>
      </c>
      <c r="L48" s="30">
        <v>8</v>
      </c>
      <c r="M48" s="30">
        <v>8</v>
      </c>
      <c r="N48" s="30">
        <v>8</v>
      </c>
      <c r="O48" s="30">
        <v>8</v>
      </c>
      <c r="P48" s="30">
        <v>8</v>
      </c>
      <c r="Q48" s="30">
        <v>8</v>
      </c>
      <c r="R48" s="30">
        <v>7</v>
      </c>
      <c r="S48" s="30">
        <f>6+1</f>
        <v>7</v>
      </c>
      <c r="T48" s="30">
        <v>6</v>
      </c>
      <c r="U48" s="30">
        <v>6</v>
      </c>
      <c r="V48" s="30">
        <v>6</v>
      </c>
      <c r="W48" s="30">
        <v>5</v>
      </c>
      <c r="X48" s="30">
        <v>5</v>
      </c>
      <c r="Y48" s="30">
        <v>5</v>
      </c>
      <c r="Z48" s="30">
        <v>5</v>
      </c>
      <c r="AA48" s="30">
        <v>6</v>
      </c>
      <c r="AB48" s="30">
        <v>4</v>
      </c>
      <c r="AC48" s="30">
        <v>4</v>
      </c>
      <c r="AD48" s="30">
        <f>4+5</f>
        <v>9</v>
      </c>
      <c r="AE48" s="30">
        <f>8+1</f>
        <v>9</v>
      </c>
      <c r="AF48" s="30">
        <v>9</v>
      </c>
      <c r="AG48" s="30">
        <v>9</v>
      </c>
      <c r="AH48" s="30">
        <v>7</v>
      </c>
      <c r="AI48" s="30">
        <v>6</v>
      </c>
      <c r="AJ48" s="30">
        <f>4+1</f>
        <v>5</v>
      </c>
    </row>
    <row r="49" spans="1:36" ht="80.099999999999994" customHeight="1">
      <c r="A49" s="127" t="s">
        <v>1436</v>
      </c>
      <c r="B49" s="86" t="s">
        <v>1059</v>
      </c>
      <c r="C49" s="100" t="s">
        <v>978</v>
      </c>
      <c r="D49" s="58" t="s">
        <v>118</v>
      </c>
      <c r="E49" s="76"/>
      <c r="F49" s="77" t="s">
        <v>119</v>
      </c>
      <c r="G49" s="25"/>
      <c r="H49" s="25"/>
      <c r="J49" s="30">
        <v>4</v>
      </c>
      <c r="K49" s="30">
        <v>4</v>
      </c>
      <c r="L49" s="30">
        <v>4</v>
      </c>
      <c r="M49" s="30">
        <v>4</v>
      </c>
      <c r="N49" s="30">
        <v>4</v>
      </c>
      <c r="O49" s="30">
        <v>4</v>
      </c>
      <c r="P49" s="30">
        <v>4</v>
      </c>
      <c r="Q49" s="30">
        <v>4</v>
      </c>
      <c r="R49" s="30">
        <v>4</v>
      </c>
      <c r="S49" s="30">
        <v>4</v>
      </c>
      <c r="T49" s="30">
        <v>4</v>
      </c>
      <c r="U49" s="30">
        <v>4</v>
      </c>
      <c r="V49" s="30">
        <v>3</v>
      </c>
      <c r="W49" s="30">
        <v>3</v>
      </c>
      <c r="X49" s="30">
        <v>2</v>
      </c>
      <c r="Y49" s="30">
        <v>1</v>
      </c>
      <c r="Z49" s="30">
        <f>1+5</f>
        <v>6</v>
      </c>
      <c r="AA49" s="30">
        <v>7</v>
      </c>
      <c r="AB49" s="30">
        <v>7</v>
      </c>
      <c r="AC49" s="30">
        <v>7</v>
      </c>
      <c r="AD49" s="30">
        <v>7</v>
      </c>
      <c r="AE49" s="30">
        <v>7</v>
      </c>
      <c r="AF49" s="30">
        <v>7</v>
      </c>
      <c r="AG49" s="30">
        <v>7</v>
      </c>
      <c r="AH49" s="30">
        <v>6</v>
      </c>
      <c r="AI49" s="30">
        <v>6</v>
      </c>
      <c r="AJ49" s="30">
        <v>6</v>
      </c>
    </row>
    <row r="50" spans="1:36" ht="80.099999999999994" customHeight="1">
      <c r="A50" s="122" t="s">
        <v>8</v>
      </c>
      <c r="B50" s="74" t="s">
        <v>1054</v>
      </c>
      <c r="C50" s="78" t="s">
        <v>121</v>
      </c>
      <c r="D50" s="58" t="s">
        <v>120</v>
      </c>
      <c r="E50" s="76">
        <v>9</v>
      </c>
      <c r="F50" s="77" t="s">
        <v>122</v>
      </c>
      <c r="G50" s="25"/>
      <c r="H50" s="25"/>
      <c r="J50" s="30">
        <v>6</v>
      </c>
      <c r="K50" s="30">
        <f>3+1</f>
        <v>4</v>
      </c>
      <c r="L50" s="30">
        <v>4</v>
      </c>
      <c r="M50" s="30">
        <v>4</v>
      </c>
      <c r="N50" s="30">
        <v>4</v>
      </c>
      <c r="O50" s="30">
        <v>4</v>
      </c>
      <c r="P50" s="30">
        <v>4</v>
      </c>
      <c r="Q50" s="30">
        <v>4</v>
      </c>
      <c r="R50" s="30">
        <v>4</v>
      </c>
      <c r="S50" s="30">
        <v>4</v>
      </c>
      <c r="T50" s="30">
        <v>4</v>
      </c>
      <c r="U50" s="30">
        <v>4</v>
      </c>
      <c r="V50" s="30">
        <v>4</v>
      </c>
      <c r="W50" s="30">
        <v>4</v>
      </c>
      <c r="X50" s="30">
        <v>4</v>
      </c>
      <c r="Y50" s="30">
        <v>4</v>
      </c>
      <c r="Z50" s="30">
        <v>4</v>
      </c>
      <c r="AA50" s="30">
        <v>4</v>
      </c>
      <c r="AB50" s="30">
        <v>4</v>
      </c>
      <c r="AC50" s="30">
        <v>4</v>
      </c>
      <c r="AD50" s="30">
        <v>4</v>
      </c>
      <c r="AE50" s="30">
        <v>4</v>
      </c>
      <c r="AF50" s="30">
        <v>4</v>
      </c>
      <c r="AG50" s="30">
        <v>4</v>
      </c>
      <c r="AH50" s="30">
        <v>4</v>
      </c>
      <c r="AI50" s="30">
        <v>4</v>
      </c>
      <c r="AJ50" s="30">
        <v>4</v>
      </c>
    </row>
    <row r="51" spans="1:36" ht="80.099999999999994" customHeight="1">
      <c r="A51" s="128" t="s">
        <v>1436</v>
      </c>
      <c r="B51" s="91" t="s">
        <v>1070</v>
      </c>
      <c r="C51" s="78" t="s">
        <v>993</v>
      </c>
      <c r="D51" s="96" t="s">
        <v>123</v>
      </c>
      <c r="E51" s="92"/>
      <c r="F51" s="77" t="s">
        <v>125</v>
      </c>
      <c r="G51" s="29"/>
      <c r="H51" s="29"/>
      <c r="J51" s="32">
        <v>0</v>
      </c>
      <c r="K51" s="32">
        <v>0</v>
      </c>
      <c r="L51" s="32">
        <v>0</v>
      </c>
      <c r="M51" s="32">
        <v>0</v>
      </c>
      <c r="N51" s="32">
        <f>0+4</f>
        <v>4</v>
      </c>
      <c r="O51" s="32">
        <f>1+4</f>
        <v>5</v>
      </c>
      <c r="P51" s="32">
        <f>1+4</f>
        <v>5</v>
      </c>
      <c r="Q51" s="30">
        <f>1+4</f>
        <v>5</v>
      </c>
      <c r="R51" s="30">
        <f>2+3</f>
        <v>5</v>
      </c>
      <c r="S51" s="30">
        <f>2+3</f>
        <v>5</v>
      </c>
      <c r="T51" s="30">
        <v>5</v>
      </c>
      <c r="U51" s="30">
        <v>5</v>
      </c>
      <c r="V51" s="30">
        <v>5</v>
      </c>
      <c r="W51" s="30">
        <v>4</v>
      </c>
      <c r="X51" s="30">
        <f>3+1</f>
        <v>4</v>
      </c>
      <c r="Y51" s="30">
        <v>3</v>
      </c>
      <c r="Z51" s="30">
        <v>3</v>
      </c>
      <c r="AA51" s="30">
        <v>3</v>
      </c>
      <c r="AB51" s="30">
        <v>1</v>
      </c>
      <c r="AC51" s="30">
        <v>1</v>
      </c>
      <c r="AD51" s="30">
        <f>1+5</f>
        <v>6</v>
      </c>
      <c r="AE51" s="30">
        <f>2+4</f>
        <v>6</v>
      </c>
      <c r="AF51" s="30">
        <v>6</v>
      </c>
      <c r="AG51" s="30">
        <v>5</v>
      </c>
      <c r="AH51" s="30">
        <v>5</v>
      </c>
      <c r="AI51" s="30">
        <f>4+0</f>
        <v>4</v>
      </c>
      <c r="AJ51" s="30">
        <v>4</v>
      </c>
    </row>
    <row r="52" spans="1:36" ht="80.099999999999994" customHeight="1">
      <c r="A52" s="122" t="s">
        <v>17</v>
      </c>
      <c r="B52" s="74" t="s">
        <v>1062</v>
      </c>
      <c r="C52" s="75" t="s">
        <v>127</v>
      </c>
      <c r="D52" s="58" t="s">
        <v>126</v>
      </c>
      <c r="E52" s="94"/>
      <c r="F52" s="77" t="s">
        <v>128</v>
      </c>
      <c r="G52" s="27" t="s">
        <v>129</v>
      </c>
      <c r="H52" s="27"/>
      <c r="J52" s="30">
        <f>0+3</f>
        <v>3</v>
      </c>
      <c r="K52" s="30">
        <f>3</f>
        <v>3</v>
      </c>
      <c r="L52" s="30">
        <f>1+2</f>
        <v>3</v>
      </c>
      <c r="M52" s="30">
        <v>1</v>
      </c>
      <c r="N52" s="30">
        <f>0+5+1</f>
        <v>6</v>
      </c>
      <c r="O52" s="30">
        <f>0+5</f>
        <v>5</v>
      </c>
      <c r="P52" s="30">
        <f>0+5</f>
        <v>5</v>
      </c>
      <c r="Q52" s="30">
        <f>0+10</f>
        <v>10</v>
      </c>
      <c r="R52" s="30">
        <f>6+4</f>
        <v>10</v>
      </c>
      <c r="S52" s="30">
        <f>6+4</f>
        <v>10</v>
      </c>
      <c r="T52" s="30">
        <v>9</v>
      </c>
      <c r="U52" s="30">
        <v>8</v>
      </c>
      <c r="V52" s="30">
        <f>7+10+1</f>
        <v>18</v>
      </c>
      <c r="W52" s="30">
        <f>14+1</f>
        <v>15</v>
      </c>
      <c r="X52" s="30">
        <v>15</v>
      </c>
      <c r="Y52" s="30">
        <v>14</v>
      </c>
      <c r="Z52" s="30">
        <v>14</v>
      </c>
      <c r="AA52" s="30">
        <v>14</v>
      </c>
      <c r="AB52" s="30">
        <v>12</v>
      </c>
      <c r="AC52" s="30">
        <v>11</v>
      </c>
      <c r="AD52" s="30">
        <f>9+1</f>
        <v>10</v>
      </c>
      <c r="AE52" s="30">
        <v>10</v>
      </c>
      <c r="AF52" s="30">
        <v>8</v>
      </c>
      <c r="AG52" s="30">
        <f>5+1</f>
        <v>6</v>
      </c>
      <c r="AH52" s="30">
        <f>2+10+4</f>
        <v>16</v>
      </c>
      <c r="AI52" s="30">
        <f>2+10</f>
        <v>12</v>
      </c>
      <c r="AJ52" s="30">
        <f>4+8</f>
        <v>12</v>
      </c>
    </row>
    <row r="53" spans="1:36" ht="80.099999999999994" customHeight="1">
      <c r="A53" s="126" t="s">
        <v>1406</v>
      </c>
      <c r="B53" s="83"/>
      <c r="C53" s="78" t="s">
        <v>131</v>
      </c>
      <c r="D53" s="64" t="s">
        <v>130</v>
      </c>
      <c r="E53" s="92"/>
      <c r="F53" s="77" t="s">
        <v>132</v>
      </c>
      <c r="G53" s="29"/>
      <c r="H53" s="29"/>
      <c r="J53" s="30">
        <v>9</v>
      </c>
      <c r="K53" s="30">
        <v>9</v>
      </c>
      <c r="L53" s="30">
        <v>9</v>
      </c>
      <c r="M53" s="30">
        <f>8+1</f>
        <v>9</v>
      </c>
      <c r="N53" s="30">
        <v>8</v>
      </c>
      <c r="O53" s="30">
        <v>7</v>
      </c>
      <c r="P53" s="30">
        <v>7</v>
      </c>
      <c r="Q53" s="30">
        <v>7</v>
      </c>
      <c r="R53" s="30">
        <v>6</v>
      </c>
      <c r="S53" s="30">
        <v>6</v>
      </c>
      <c r="T53" s="30">
        <v>6</v>
      </c>
      <c r="U53" s="30">
        <v>6</v>
      </c>
      <c r="V53" s="30">
        <v>6</v>
      </c>
      <c r="W53" s="30">
        <v>6</v>
      </c>
      <c r="X53" s="30">
        <v>5</v>
      </c>
      <c r="Y53" s="30">
        <v>5</v>
      </c>
      <c r="Z53" s="30">
        <v>5</v>
      </c>
      <c r="AA53" s="30">
        <v>5</v>
      </c>
      <c r="AB53" s="30">
        <v>4</v>
      </c>
      <c r="AC53" s="30">
        <v>4</v>
      </c>
      <c r="AD53" s="30">
        <f>3+1</f>
        <v>4</v>
      </c>
      <c r="AE53" s="30">
        <v>3</v>
      </c>
      <c r="AF53" s="30">
        <v>3</v>
      </c>
      <c r="AG53" s="30">
        <v>1</v>
      </c>
      <c r="AH53" s="30">
        <v>1</v>
      </c>
      <c r="AI53" s="30">
        <v>0</v>
      </c>
      <c r="AJ53" s="30">
        <f>0+10</f>
        <v>10</v>
      </c>
    </row>
    <row r="54" spans="1:36" ht="80.099999999999994" customHeight="1">
      <c r="A54" s="126" t="s">
        <v>32</v>
      </c>
      <c r="B54" s="83"/>
      <c r="C54" s="78" t="s">
        <v>134</v>
      </c>
      <c r="D54" s="64" t="s">
        <v>133</v>
      </c>
      <c r="E54" s="92"/>
      <c r="F54" s="77" t="s">
        <v>135</v>
      </c>
      <c r="G54" s="29"/>
      <c r="H54" s="29"/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1</v>
      </c>
      <c r="Q54" s="32">
        <v>0</v>
      </c>
      <c r="R54" s="32">
        <v>0</v>
      </c>
      <c r="S54" s="32">
        <f>0+10</f>
        <v>10</v>
      </c>
      <c r="T54" s="32">
        <f>0+10</f>
        <v>10</v>
      </c>
      <c r="U54" s="32">
        <f>9+1</f>
        <v>10</v>
      </c>
      <c r="V54" s="32">
        <v>10</v>
      </c>
      <c r="W54" s="32">
        <v>9</v>
      </c>
      <c r="X54" s="32">
        <v>9</v>
      </c>
      <c r="Y54" s="32">
        <f>8+1</f>
        <v>9</v>
      </c>
      <c r="Z54" s="32">
        <v>8</v>
      </c>
      <c r="AA54" s="32">
        <f>6+1</f>
        <v>7</v>
      </c>
      <c r="AB54" s="30">
        <v>6</v>
      </c>
      <c r="AC54" s="30">
        <f>5+1</f>
        <v>6</v>
      </c>
      <c r="AD54" s="30">
        <f>3+1</f>
        <v>4</v>
      </c>
      <c r="AE54" s="30">
        <f>3+1</f>
        <v>4</v>
      </c>
      <c r="AF54" s="30">
        <f>4+1</f>
        <v>5</v>
      </c>
      <c r="AG54" s="30">
        <f>1+1</f>
        <v>2</v>
      </c>
      <c r="AH54" s="30">
        <f>0+10+1</f>
        <v>11</v>
      </c>
      <c r="AI54" s="30">
        <f>1+10</f>
        <v>11</v>
      </c>
      <c r="AJ54" s="30">
        <f>3+8</f>
        <v>11</v>
      </c>
    </row>
    <row r="55" spans="1:36" ht="80.099999999999994" customHeight="1">
      <c r="A55" s="127" t="s">
        <v>32</v>
      </c>
      <c r="B55" s="86"/>
      <c r="C55" s="84" t="s">
        <v>915</v>
      </c>
      <c r="D55" s="96" t="s">
        <v>124</v>
      </c>
      <c r="E55" s="93"/>
      <c r="F55" s="82" t="s">
        <v>137</v>
      </c>
      <c r="G55" s="25"/>
      <c r="H55" s="25"/>
      <c r="I55" s="30"/>
      <c r="J55" s="30">
        <v>5</v>
      </c>
      <c r="K55" s="30">
        <v>5</v>
      </c>
      <c r="L55" s="30">
        <v>5</v>
      </c>
      <c r="M55" s="30">
        <v>4</v>
      </c>
      <c r="N55" s="30">
        <f>3+1</f>
        <v>4</v>
      </c>
      <c r="O55" s="30">
        <v>3</v>
      </c>
      <c r="P55" s="30">
        <v>3</v>
      </c>
      <c r="Q55" s="30">
        <v>3</v>
      </c>
      <c r="R55" s="30">
        <f>2</f>
        <v>2</v>
      </c>
      <c r="S55" s="30">
        <v>2</v>
      </c>
      <c r="T55" s="30">
        <f>2+3</f>
        <v>5</v>
      </c>
      <c r="U55" s="30">
        <f>0+3</f>
        <v>3</v>
      </c>
      <c r="V55" s="30">
        <v>3</v>
      </c>
      <c r="W55" s="30">
        <v>2</v>
      </c>
      <c r="X55" s="30">
        <v>2</v>
      </c>
      <c r="Y55" s="30">
        <v>2</v>
      </c>
      <c r="Z55" s="30">
        <v>2</v>
      </c>
      <c r="AA55" s="30">
        <v>2</v>
      </c>
      <c r="AB55" s="30">
        <v>2</v>
      </c>
      <c r="AC55" s="30">
        <v>2</v>
      </c>
      <c r="AD55" s="30">
        <v>2</v>
      </c>
      <c r="AE55" s="30">
        <v>2</v>
      </c>
      <c r="AF55" s="30">
        <v>2</v>
      </c>
      <c r="AG55" s="30">
        <v>2</v>
      </c>
      <c r="AH55" s="30">
        <v>2</v>
      </c>
      <c r="AI55" s="30">
        <v>2</v>
      </c>
      <c r="AJ55" s="30">
        <v>2</v>
      </c>
    </row>
    <row r="56" spans="1:36" ht="80.099999999999994" customHeight="1">
      <c r="A56" s="127" t="s">
        <v>1406</v>
      </c>
      <c r="B56" s="86"/>
      <c r="C56" s="78" t="s">
        <v>139</v>
      </c>
      <c r="D56" s="58" t="s">
        <v>138</v>
      </c>
      <c r="E56" s="76"/>
      <c r="F56" s="77" t="s">
        <v>140</v>
      </c>
      <c r="G56" s="25"/>
      <c r="H56" s="25"/>
      <c r="J56" s="30">
        <v>2</v>
      </c>
      <c r="K56" s="30">
        <v>2</v>
      </c>
      <c r="L56" s="30">
        <v>2</v>
      </c>
      <c r="M56" s="30">
        <v>2</v>
      </c>
      <c r="N56" s="30">
        <v>2</v>
      </c>
      <c r="O56" s="30">
        <v>2</v>
      </c>
      <c r="P56" s="30">
        <v>2</v>
      </c>
      <c r="Q56" s="30">
        <v>2</v>
      </c>
      <c r="R56" s="30">
        <v>2</v>
      </c>
      <c r="S56" s="30">
        <v>2</v>
      </c>
      <c r="T56" s="30">
        <v>2</v>
      </c>
      <c r="U56" s="30">
        <v>2</v>
      </c>
      <c r="V56" s="30">
        <v>2</v>
      </c>
      <c r="W56" s="30">
        <v>3</v>
      </c>
      <c r="X56" s="30">
        <v>3</v>
      </c>
      <c r="Y56" s="30">
        <v>3</v>
      </c>
      <c r="Z56" s="30">
        <v>3</v>
      </c>
      <c r="AA56" s="30">
        <v>3</v>
      </c>
      <c r="AB56" s="30">
        <v>3</v>
      </c>
      <c r="AC56" s="30">
        <v>3</v>
      </c>
      <c r="AD56" s="30">
        <v>3</v>
      </c>
      <c r="AE56" s="30">
        <v>3</v>
      </c>
      <c r="AF56" s="30">
        <v>3</v>
      </c>
      <c r="AG56" s="30">
        <v>3</v>
      </c>
      <c r="AH56" s="30">
        <v>3</v>
      </c>
      <c r="AI56" s="30">
        <v>3</v>
      </c>
      <c r="AJ56" s="30">
        <v>3</v>
      </c>
    </row>
    <row r="57" spans="1:36" ht="80.099999999999994" customHeight="1">
      <c r="A57" s="122" t="s">
        <v>8</v>
      </c>
      <c r="B57" s="74" t="s">
        <v>1057</v>
      </c>
      <c r="C57" s="78" t="s">
        <v>142</v>
      </c>
      <c r="D57" s="58" t="s">
        <v>141</v>
      </c>
      <c r="E57" s="76">
        <v>6</v>
      </c>
      <c r="F57" s="77" t="s">
        <v>143</v>
      </c>
      <c r="G57" s="25"/>
      <c r="H57" s="25"/>
      <c r="J57" s="30">
        <v>6</v>
      </c>
      <c r="K57" s="30">
        <v>6</v>
      </c>
      <c r="L57" s="30">
        <v>6</v>
      </c>
      <c r="M57" s="30">
        <v>6</v>
      </c>
      <c r="N57" s="30">
        <v>6</v>
      </c>
      <c r="O57" s="30">
        <v>6</v>
      </c>
      <c r="P57" s="30">
        <v>6</v>
      </c>
      <c r="Q57" s="30">
        <v>6</v>
      </c>
      <c r="R57" s="30">
        <v>6</v>
      </c>
      <c r="S57" s="30">
        <v>6</v>
      </c>
      <c r="T57" s="30">
        <v>6</v>
      </c>
      <c r="U57" s="30">
        <v>6</v>
      </c>
      <c r="V57" s="30">
        <v>6</v>
      </c>
      <c r="W57" s="30">
        <v>6</v>
      </c>
      <c r="X57" s="30">
        <v>6</v>
      </c>
      <c r="Y57" s="30">
        <v>6</v>
      </c>
      <c r="Z57" s="30">
        <v>6</v>
      </c>
      <c r="AA57" s="30">
        <v>6</v>
      </c>
      <c r="AB57" s="30">
        <v>6</v>
      </c>
      <c r="AC57" s="30">
        <v>6</v>
      </c>
      <c r="AD57" s="30">
        <v>6</v>
      </c>
      <c r="AE57" s="30">
        <v>6</v>
      </c>
      <c r="AF57" s="30">
        <v>6</v>
      </c>
      <c r="AG57" s="30">
        <v>6</v>
      </c>
      <c r="AH57" s="30">
        <v>6</v>
      </c>
      <c r="AI57" s="30">
        <v>6</v>
      </c>
      <c r="AJ57" s="30">
        <v>6</v>
      </c>
    </row>
    <row r="58" spans="1:36" ht="80.099999999999994" customHeight="1">
      <c r="A58" s="90" t="s">
        <v>28</v>
      </c>
      <c r="B58" s="88"/>
      <c r="C58" s="78" t="s">
        <v>994</v>
      </c>
      <c r="D58" s="58" t="s">
        <v>144</v>
      </c>
      <c r="E58" s="76"/>
      <c r="F58" s="77" t="s">
        <v>145</v>
      </c>
      <c r="G58" s="31"/>
      <c r="H58" s="31"/>
      <c r="J58" s="30">
        <v>3</v>
      </c>
      <c r="K58" s="30">
        <v>3</v>
      </c>
      <c r="L58" s="30">
        <v>3</v>
      </c>
      <c r="M58" s="30">
        <v>3</v>
      </c>
      <c r="N58" s="30">
        <v>3</v>
      </c>
      <c r="O58" s="30">
        <v>3</v>
      </c>
      <c r="P58" s="30">
        <v>3</v>
      </c>
      <c r="Q58" s="30">
        <v>3</v>
      </c>
      <c r="R58" s="30">
        <v>3</v>
      </c>
      <c r="S58" s="30">
        <v>3</v>
      </c>
      <c r="T58" s="30">
        <v>3</v>
      </c>
      <c r="U58" s="30">
        <v>3</v>
      </c>
      <c r="V58" s="30">
        <v>3</v>
      </c>
      <c r="W58" s="30">
        <v>2</v>
      </c>
      <c r="X58" s="30">
        <v>2</v>
      </c>
      <c r="Y58" s="30">
        <v>2</v>
      </c>
      <c r="Z58" s="30">
        <v>2</v>
      </c>
      <c r="AA58" s="30">
        <v>1</v>
      </c>
      <c r="AB58" s="30">
        <v>1</v>
      </c>
      <c r="AC58" s="30">
        <v>1</v>
      </c>
      <c r="AD58" s="30">
        <f>1+3</f>
        <v>4</v>
      </c>
      <c r="AE58" s="30">
        <f>3+1</f>
        <v>4</v>
      </c>
      <c r="AF58" s="30">
        <v>4</v>
      </c>
      <c r="AG58" s="30">
        <v>4</v>
      </c>
      <c r="AH58" s="30">
        <v>4</v>
      </c>
      <c r="AI58" s="30">
        <v>4</v>
      </c>
      <c r="AJ58" s="30">
        <v>4</v>
      </c>
    </row>
    <row r="59" spans="1:36" ht="80.099999999999994" customHeight="1">
      <c r="A59" s="122" t="s">
        <v>8</v>
      </c>
      <c r="B59" s="74" t="s">
        <v>1062</v>
      </c>
      <c r="C59" s="78" t="s">
        <v>916</v>
      </c>
      <c r="D59" s="58" t="s">
        <v>146</v>
      </c>
      <c r="E59" s="76">
        <v>7</v>
      </c>
      <c r="F59" s="77" t="s">
        <v>147</v>
      </c>
      <c r="G59" s="25"/>
      <c r="H59" s="25"/>
      <c r="J59" s="30">
        <f>5+1</f>
        <v>6</v>
      </c>
      <c r="K59" s="30">
        <f>2+1</f>
        <v>3</v>
      </c>
      <c r="L59" s="30">
        <v>2</v>
      </c>
      <c r="M59" s="30">
        <v>2</v>
      </c>
      <c r="N59" s="30">
        <f>0+13+1</f>
        <v>14</v>
      </c>
      <c r="O59" s="30">
        <f>0+13+1</f>
        <v>14</v>
      </c>
      <c r="P59" s="30">
        <f>0+13+1</f>
        <v>14</v>
      </c>
      <c r="Q59" s="30">
        <f>0+13</f>
        <v>13</v>
      </c>
      <c r="R59" s="30">
        <f>0+7</f>
        <v>7</v>
      </c>
      <c r="S59" s="30">
        <f>0+7</f>
        <v>7</v>
      </c>
      <c r="T59" s="30">
        <f>0+10+5</f>
        <v>15</v>
      </c>
      <c r="U59" s="30">
        <f>3+10+9</f>
        <v>22</v>
      </c>
      <c r="V59" s="30">
        <f>3+10+0</f>
        <v>13</v>
      </c>
      <c r="W59" s="30">
        <f>3+20+0</f>
        <v>23</v>
      </c>
      <c r="X59" s="30">
        <f>4+20</f>
        <v>24</v>
      </c>
      <c r="Y59" s="30">
        <v>24</v>
      </c>
      <c r="Z59" s="30">
        <f>22+1</f>
        <v>23</v>
      </c>
      <c r="AA59" s="30">
        <v>22</v>
      </c>
      <c r="AB59" s="30">
        <v>21</v>
      </c>
      <c r="AC59" s="30">
        <f>12+5</f>
        <v>17</v>
      </c>
      <c r="AD59" s="30">
        <f>15+1</f>
        <v>16</v>
      </c>
      <c r="AE59" s="30">
        <v>13</v>
      </c>
      <c r="AF59" s="30">
        <v>10</v>
      </c>
      <c r="AG59" s="30">
        <f>7+10</f>
        <v>17</v>
      </c>
      <c r="AH59" s="30">
        <f>0+10+7</f>
        <v>17</v>
      </c>
      <c r="AI59" s="30">
        <f>6+10</f>
        <v>16</v>
      </c>
      <c r="AJ59" s="30">
        <f>7+7</f>
        <v>14</v>
      </c>
    </row>
    <row r="60" spans="1:36" s="30" customFormat="1" ht="80.099999999999994" customHeight="1">
      <c r="A60" s="122" t="s">
        <v>8</v>
      </c>
      <c r="B60" s="74" t="s">
        <v>1413</v>
      </c>
      <c r="C60" s="78" t="s">
        <v>149</v>
      </c>
      <c r="D60" s="58" t="s">
        <v>148</v>
      </c>
      <c r="E60" s="76">
        <v>7</v>
      </c>
      <c r="F60" s="77" t="s">
        <v>150</v>
      </c>
      <c r="G60" s="25"/>
      <c r="H60" s="25"/>
      <c r="I60" s="23"/>
      <c r="J60" s="30">
        <v>4</v>
      </c>
      <c r="K60" s="30">
        <v>4</v>
      </c>
      <c r="L60" s="30">
        <v>4</v>
      </c>
      <c r="M60" s="30">
        <v>4</v>
      </c>
      <c r="N60" s="30">
        <v>4</v>
      </c>
      <c r="O60" s="30">
        <v>4</v>
      </c>
      <c r="P60" s="30">
        <v>4</v>
      </c>
      <c r="Q60" s="30">
        <v>4</v>
      </c>
      <c r="R60" s="30">
        <v>4</v>
      </c>
      <c r="S60" s="30">
        <v>4</v>
      </c>
      <c r="T60" s="30">
        <v>4</v>
      </c>
      <c r="U60" s="30">
        <v>4</v>
      </c>
      <c r="V60" s="30">
        <v>4</v>
      </c>
      <c r="W60" s="30">
        <v>4</v>
      </c>
      <c r="X60" s="30">
        <v>4</v>
      </c>
      <c r="Y60" s="30">
        <v>4</v>
      </c>
      <c r="Z60" s="30">
        <v>4</v>
      </c>
      <c r="AA60" s="30">
        <v>4</v>
      </c>
      <c r="AB60" s="30">
        <v>4</v>
      </c>
      <c r="AC60" s="30">
        <v>4</v>
      </c>
      <c r="AD60" s="30">
        <v>4</v>
      </c>
      <c r="AE60" s="30">
        <v>4</v>
      </c>
      <c r="AF60" s="30">
        <v>4</v>
      </c>
      <c r="AG60" s="30">
        <v>4</v>
      </c>
      <c r="AH60" s="30">
        <v>4</v>
      </c>
      <c r="AI60" s="30">
        <v>4</v>
      </c>
      <c r="AJ60" s="30">
        <v>4</v>
      </c>
    </row>
    <row r="61" spans="1:36" ht="80.099999999999994" customHeight="1">
      <c r="A61" s="127" t="s">
        <v>8</v>
      </c>
      <c r="B61" s="86" t="s">
        <v>1060</v>
      </c>
      <c r="C61" s="78" t="s">
        <v>995</v>
      </c>
      <c r="D61" s="58" t="s">
        <v>151</v>
      </c>
      <c r="E61" s="76">
        <v>7</v>
      </c>
      <c r="F61" s="77" t="s">
        <v>152</v>
      </c>
      <c r="G61" s="25"/>
      <c r="H61" s="25"/>
      <c r="J61" s="30">
        <v>5</v>
      </c>
      <c r="K61" s="30">
        <v>5</v>
      </c>
      <c r="L61" s="30">
        <v>5</v>
      </c>
      <c r="M61" s="30">
        <v>5</v>
      </c>
      <c r="N61" s="30">
        <v>5</v>
      </c>
      <c r="O61" s="30">
        <v>5</v>
      </c>
      <c r="P61" s="30">
        <v>5</v>
      </c>
      <c r="Q61" s="30">
        <v>4</v>
      </c>
      <c r="R61" s="30">
        <v>4</v>
      </c>
      <c r="S61" s="30">
        <v>3</v>
      </c>
      <c r="T61" s="30">
        <f>2</f>
        <v>2</v>
      </c>
      <c r="U61" s="30">
        <v>2</v>
      </c>
      <c r="V61" s="30">
        <f>0+5+1</f>
        <v>6</v>
      </c>
      <c r="W61" s="30">
        <f>0+2</f>
        <v>2</v>
      </c>
      <c r="X61" s="30">
        <f>2+5+1</f>
        <v>8</v>
      </c>
      <c r="Y61" s="30">
        <f>7+1</f>
        <v>8</v>
      </c>
      <c r="Z61" s="30">
        <f>7+1</f>
        <v>8</v>
      </c>
      <c r="AA61" s="30">
        <v>7</v>
      </c>
      <c r="AB61" s="30">
        <v>4</v>
      </c>
      <c r="AC61" s="30">
        <v>3</v>
      </c>
      <c r="AD61" s="30">
        <f>1+5</f>
        <v>6</v>
      </c>
      <c r="AE61" s="30">
        <f>1+4</f>
        <v>5</v>
      </c>
      <c r="AF61" s="30">
        <v>4</v>
      </c>
      <c r="AG61" s="30">
        <f>4+5</f>
        <v>9</v>
      </c>
      <c r="AH61" s="30">
        <f>0+4+0</f>
        <v>4</v>
      </c>
      <c r="AI61" s="30">
        <f>0+4</f>
        <v>4</v>
      </c>
      <c r="AJ61" s="30">
        <f>0+2</f>
        <v>2</v>
      </c>
    </row>
    <row r="62" spans="1:36" ht="80.099999999999994" customHeight="1">
      <c r="A62" s="90" t="s">
        <v>32</v>
      </c>
      <c r="B62" s="88"/>
      <c r="C62" s="78" t="s">
        <v>884</v>
      </c>
      <c r="D62" s="60" t="s">
        <v>153</v>
      </c>
      <c r="E62" s="76"/>
      <c r="F62" s="82" t="s">
        <v>154</v>
      </c>
      <c r="G62" s="25"/>
      <c r="H62" s="25"/>
      <c r="I62" s="30"/>
      <c r="J62" s="30">
        <v>4</v>
      </c>
      <c r="K62" s="30">
        <v>4</v>
      </c>
      <c r="L62" s="30">
        <v>4</v>
      </c>
      <c r="M62" s="30">
        <v>4</v>
      </c>
      <c r="N62" s="30">
        <v>4</v>
      </c>
      <c r="O62" s="30">
        <v>4</v>
      </c>
      <c r="P62" s="30">
        <v>4</v>
      </c>
      <c r="Q62" s="30">
        <v>4</v>
      </c>
      <c r="R62" s="30">
        <v>4</v>
      </c>
      <c r="S62" s="30">
        <v>4</v>
      </c>
      <c r="T62" s="30">
        <v>4</v>
      </c>
      <c r="U62" s="30">
        <v>4</v>
      </c>
      <c r="V62" s="30">
        <v>4</v>
      </c>
      <c r="W62" s="30">
        <f>4</f>
        <v>4</v>
      </c>
      <c r="X62" s="30">
        <v>4</v>
      </c>
      <c r="Y62" s="30">
        <v>4</v>
      </c>
      <c r="Z62" s="30">
        <v>4</v>
      </c>
      <c r="AA62" s="30">
        <v>4</v>
      </c>
      <c r="AB62" s="30">
        <v>4</v>
      </c>
      <c r="AC62" s="30">
        <v>4</v>
      </c>
      <c r="AD62" s="30">
        <v>4</v>
      </c>
      <c r="AE62" s="30">
        <v>4</v>
      </c>
      <c r="AF62" s="30">
        <v>4</v>
      </c>
      <c r="AG62" s="30">
        <v>4</v>
      </c>
      <c r="AH62" s="30">
        <v>4</v>
      </c>
      <c r="AI62" s="30">
        <v>4</v>
      </c>
      <c r="AJ62" s="30">
        <v>4</v>
      </c>
    </row>
    <row r="63" spans="1:36" ht="80.099999999999994" customHeight="1">
      <c r="A63" s="127" t="s">
        <v>1405</v>
      </c>
      <c r="B63" s="86"/>
      <c r="C63" s="75" t="s">
        <v>1036</v>
      </c>
      <c r="D63" s="56" t="s">
        <v>1037</v>
      </c>
      <c r="E63" s="80"/>
      <c r="F63" s="81" t="s">
        <v>1038</v>
      </c>
      <c r="G63" s="25"/>
      <c r="H63" s="25"/>
      <c r="I63" s="30"/>
      <c r="AG63" s="30">
        <f>0+30</f>
        <v>30</v>
      </c>
      <c r="AH63" s="30">
        <f>26+3</f>
        <v>29</v>
      </c>
      <c r="AI63" s="30">
        <f>21+1</f>
        <v>22</v>
      </c>
      <c r="AJ63" s="30">
        <f>10+20+3</f>
        <v>33</v>
      </c>
    </row>
    <row r="64" spans="1:36" s="30" customFormat="1" ht="80.099999999999994" customHeight="1">
      <c r="A64" s="127" t="s">
        <v>32</v>
      </c>
      <c r="B64" s="86"/>
      <c r="C64" s="84" t="s">
        <v>907</v>
      </c>
      <c r="D64" s="96" t="s">
        <v>155</v>
      </c>
      <c r="E64" s="97"/>
      <c r="F64" s="77" t="s">
        <v>156</v>
      </c>
      <c r="G64" s="25"/>
      <c r="H64" s="25"/>
      <c r="I64" s="23"/>
      <c r="J64" s="30">
        <v>11</v>
      </c>
      <c r="K64" s="30">
        <f>8+2</f>
        <v>10</v>
      </c>
      <c r="L64" s="30">
        <v>8</v>
      </c>
      <c r="M64" s="30">
        <f>7+1</f>
        <v>8</v>
      </c>
      <c r="N64" s="30">
        <f>6+1</f>
        <v>7</v>
      </c>
      <c r="O64" s="30">
        <f>5+1</f>
        <v>6</v>
      </c>
      <c r="P64" s="30">
        <v>5</v>
      </c>
      <c r="Q64" s="30">
        <f>5+5</f>
        <v>10</v>
      </c>
      <c r="R64" s="30">
        <f>7+1</f>
        <v>8</v>
      </c>
      <c r="S64" s="30">
        <v>7</v>
      </c>
      <c r="T64" s="30">
        <f>7+10</f>
        <v>17</v>
      </c>
      <c r="U64" s="30">
        <f>7+10</f>
        <v>17</v>
      </c>
      <c r="V64" s="30">
        <v>17</v>
      </c>
      <c r="W64" s="30">
        <v>15</v>
      </c>
      <c r="X64" s="30">
        <v>17</v>
      </c>
      <c r="Y64" s="30">
        <f>16+1</f>
        <v>17</v>
      </c>
      <c r="Z64" s="30">
        <v>16</v>
      </c>
      <c r="AA64" s="30">
        <v>14</v>
      </c>
      <c r="AB64" s="30">
        <v>14</v>
      </c>
      <c r="AC64" s="30">
        <f>13+2</f>
        <v>15</v>
      </c>
      <c r="AD64" s="30">
        <v>14</v>
      </c>
      <c r="AE64" s="30">
        <v>15</v>
      </c>
      <c r="AF64" s="30">
        <f>14+1</f>
        <v>15</v>
      </c>
      <c r="AG64" s="30">
        <v>14</v>
      </c>
      <c r="AH64" s="30">
        <v>13</v>
      </c>
      <c r="AI64" s="30">
        <v>13</v>
      </c>
      <c r="AJ64" s="30">
        <v>13</v>
      </c>
    </row>
    <row r="65" spans="1:69" ht="80.099999999999994" customHeight="1">
      <c r="A65" s="122" t="s">
        <v>8</v>
      </c>
      <c r="B65" s="74" t="s">
        <v>1061</v>
      </c>
      <c r="C65" s="78" t="s">
        <v>158</v>
      </c>
      <c r="D65" s="58" t="s">
        <v>157</v>
      </c>
      <c r="E65" s="76">
        <v>7</v>
      </c>
      <c r="F65" s="77" t="s">
        <v>159</v>
      </c>
      <c r="G65" s="25"/>
      <c r="H65" s="25"/>
      <c r="J65" s="30">
        <f>13+1</f>
        <v>14</v>
      </c>
      <c r="K65" s="30">
        <f>12+1</f>
        <v>13</v>
      </c>
      <c r="L65" s="30">
        <f>11+1</f>
        <v>12</v>
      </c>
      <c r="M65" s="30">
        <f>10+1</f>
        <v>11</v>
      </c>
      <c r="N65" s="30">
        <f>7+7+3</f>
        <v>17</v>
      </c>
      <c r="O65" s="30">
        <f>5+7+1</f>
        <v>13</v>
      </c>
      <c r="P65" s="30">
        <f>4+7</f>
        <v>11</v>
      </c>
      <c r="Q65" s="30">
        <f>4+17</f>
        <v>21</v>
      </c>
      <c r="R65" s="30">
        <f>14+5+1</f>
        <v>20</v>
      </c>
      <c r="S65" s="30">
        <f>13+5</f>
        <v>18</v>
      </c>
      <c r="T65" s="30">
        <f>14+2</f>
        <v>16</v>
      </c>
      <c r="U65" s="30">
        <v>14</v>
      </c>
      <c r="V65" s="30">
        <f>14+10</f>
        <v>24</v>
      </c>
      <c r="W65" s="30">
        <f>15+3</f>
        <v>18</v>
      </c>
      <c r="X65" s="30">
        <f>12+1</f>
        <v>13</v>
      </c>
      <c r="Y65" s="30">
        <f>11+1</f>
        <v>12</v>
      </c>
      <c r="Z65" s="30">
        <f>9+10+1</f>
        <v>20</v>
      </c>
      <c r="AA65" s="30">
        <f>17+1</f>
        <v>18</v>
      </c>
      <c r="AB65" s="30">
        <v>15</v>
      </c>
      <c r="AC65" s="30">
        <f>11+1</f>
        <v>12</v>
      </c>
      <c r="AD65" s="30">
        <f>4+2</f>
        <v>6</v>
      </c>
      <c r="AE65" s="30">
        <f>2+10+1</f>
        <v>13</v>
      </c>
      <c r="AF65" s="30">
        <f>2+20</f>
        <v>22</v>
      </c>
      <c r="AG65" s="30">
        <f>12+9</f>
        <v>21</v>
      </c>
      <c r="AH65" s="30">
        <f>13+4</f>
        <v>17</v>
      </c>
      <c r="AI65" s="30">
        <v>16</v>
      </c>
      <c r="AJ65" s="30">
        <f>15+1</f>
        <v>16</v>
      </c>
    </row>
    <row r="66" spans="1:69" ht="80.099999999999994" customHeight="1">
      <c r="A66" s="122" t="s">
        <v>8</v>
      </c>
      <c r="B66" s="74" t="s">
        <v>1054</v>
      </c>
      <c r="C66" s="78" t="s">
        <v>161</v>
      </c>
      <c r="D66" s="58" t="s">
        <v>160</v>
      </c>
      <c r="E66" s="76">
        <v>7</v>
      </c>
      <c r="F66" s="77" t="s">
        <v>162</v>
      </c>
      <c r="G66" s="25"/>
      <c r="H66" s="25"/>
      <c r="J66" s="30">
        <v>6</v>
      </c>
      <c r="K66" s="30">
        <v>6</v>
      </c>
      <c r="L66" s="30">
        <v>6</v>
      </c>
      <c r="M66" s="30">
        <v>6</v>
      </c>
      <c r="N66" s="30">
        <v>6</v>
      </c>
      <c r="O66" s="30">
        <v>6</v>
      </c>
      <c r="P66" s="30">
        <v>6</v>
      </c>
      <c r="Q66" s="30">
        <v>6</v>
      </c>
      <c r="R66" s="30">
        <v>6</v>
      </c>
      <c r="S66" s="30">
        <v>6</v>
      </c>
      <c r="T66" s="30">
        <v>6</v>
      </c>
      <c r="U66" s="30">
        <v>6</v>
      </c>
      <c r="V66" s="30">
        <v>6</v>
      </c>
      <c r="W66" s="30">
        <v>6</v>
      </c>
      <c r="X66" s="30">
        <v>6</v>
      </c>
      <c r="Y66" s="30">
        <v>6</v>
      </c>
      <c r="Z66" s="30">
        <v>6</v>
      </c>
      <c r="AA66" s="30">
        <v>6</v>
      </c>
      <c r="AB66" s="30">
        <v>6</v>
      </c>
      <c r="AC66" s="30">
        <v>6</v>
      </c>
      <c r="AD66" s="30">
        <v>6</v>
      </c>
      <c r="AE66" s="30">
        <v>6</v>
      </c>
      <c r="AF66" s="30">
        <v>6</v>
      </c>
      <c r="AG66" s="30">
        <v>6</v>
      </c>
      <c r="AH66" s="30">
        <v>6</v>
      </c>
      <c r="AI66" s="30">
        <v>6</v>
      </c>
      <c r="AJ66" s="30">
        <v>6</v>
      </c>
    </row>
    <row r="67" spans="1:69" ht="80.099999999999994" customHeight="1">
      <c r="A67" s="122" t="s">
        <v>8</v>
      </c>
      <c r="B67" s="74" t="s">
        <v>1070</v>
      </c>
      <c r="C67" s="78" t="s">
        <v>164</v>
      </c>
      <c r="D67" s="58" t="s">
        <v>163</v>
      </c>
      <c r="E67" s="76">
        <v>7</v>
      </c>
      <c r="F67" s="77" t="s">
        <v>165</v>
      </c>
      <c r="G67" s="25"/>
      <c r="H67" s="25"/>
      <c r="J67" s="30">
        <v>4</v>
      </c>
      <c r="K67" s="30">
        <v>4</v>
      </c>
      <c r="L67" s="30">
        <v>4</v>
      </c>
      <c r="M67" s="30">
        <v>4</v>
      </c>
      <c r="N67" s="30">
        <v>4</v>
      </c>
      <c r="O67" s="30">
        <v>4</v>
      </c>
      <c r="P67" s="30">
        <v>4</v>
      </c>
      <c r="Q67" s="30">
        <v>4</v>
      </c>
      <c r="R67" s="30">
        <v>4</v>
      </c>
      <c r="S67" s="30">
        <v>4</v>
      </c>
      <c r="T67" s="30">
        <v>4</v>
      </c>
      <c r="U67" s="30">
        <v>4</v>
      </c>
      <c r="V67" s="30">
        <v>4</v>
      </c>
      <c r="W67" s="30">
        <v>4</v>
      </c>
      <c r="X67" s="30">
        <v>4</v>
      </c>
      <c r="Y67" s="30">
        <v>4</v>
      </c>
      <c r="Z67" s="30">
        <v>4</v>
      </c>
      <c r="AA67" s="30">
        <v>4</v>
      </c>
      <c r="AB67" s="30">
        <v>4</v>
      </c>
      <c r="AC67" s="30">
        <v>4</v>
      </c>
      <c r="AD67" s="30">
        <v>4</v>
      </c>
      <c r="AE67" s="30">
        <v>4</v>
      </c>
      <c r="AF67" s="30">
        <v>4</v>
      </c>
      <c r="AG67" s="30">
        <v>4</v>
      </c>
      <c r="AH67" s="30">
        <v>4</v>
      </c>
      <c r="AI67" s="30">
        <v>4</v>
      </c>
      <c r="AJ67" s="30">
        <v>4</v>
      </c>
    </row>
    <row r="68" spans="1:69" ht="80.099999999999994" customHeight="1">
      <c r="A68" s="125" t="s">
        <v>8</v>
      </c>
      <c r="B68" s="79"/>
      <c r="C68" s="78" t="s">
        <v>167</v>
      </c>
      <c r="D68" s="60" t="s">
        <v>166</v>
      </c>
      <c r="E68" s="94">
        <v>7</v>
      </c>
      <c r="F68" s="77" t="s">
        <v>168</v>
      </c>
      <c r="G68" s="25"/>
      <c r="H68" s="25"/>
      <c r="J68" s="30">
        <f>0+5</f>
        <v>5</v>
      </c>
      <c r="K68" s="30">
        <v>0</v>
      </c>
      <c r="L68" s="30">
        <v>0</v>
      </c>
      <c r="M68" s="30">
        <v>0</v>
      </c>
      <c r="N68" s="30">
        <f>0+1</f>
        <v>1</v>
      </c>
      <c r="O68" s="30">
        <f>1+1</f>
        <v>2</v>
      </c>
      <c r="P68" s="30">
        <f>0+2</f>
        <v>2</v>
      </c>
      <c r="Q68" s="30">
        <v>0</v>
      </c>
      <c r="R68" s="30">
        <v>0</v>
      </c>
      <c r="S68" s="30">
        <f>0+170</f>
        <v>170</v>
      </c>
      <c r="T68" s="30">
        <f>0+2</f>
        <v>2</v>
      </c>
      <c r="U68" s="30">
        <f>2+163</f>
        <v>165</v>
      </c>
      <c r="V68" s="30">
        <f>54+150+97</f>
        <v>301</v>
      </c>
      <c r="W68" s="30">
        <f>200+10</f>
        <v>210</v>
      </c>
      <c r="X68" s="30">
        <f>186+5</f>
        <v>191</v>
      </c>
      <c r="Y68" s="30">
        <f>179+7</f>
        <v>186</v>
      </c>
      <c r="Z68" s="30">
        <f>172+7</f>
        <v>179</v>
      </c>
      <c r="AA68" s="30">
        <f>168+5</f>
        <v>173</v>
      </c>
      <c r="AB68" s="30">
        <f>130+22</f>
        <v>152</v>
      </c>
      <c r="AC68" s="30">
        <f>125+7</f>
        <v>132</v>
      </c>
      <c r="AD68" s="30">
        <f>91+23</f>
        <v>114</v>
      </c>
      <c r="AE68" s="30">
        <f>48+39</f>
        <v>87</v>
      </c>
      <c r="AF68" s="30">
        <f>56+70+2</f>
        <v>128</v>
      </c>
      <c r="AG68" s="30">
        <f>111+7</f>
        <v>118</v>
      </c>
      <c r="AH68" s="30">
        <f>92+4</f>
        <v>96</v>
      </c>
      <c r="AI68" s="30">
        <f>85+1</f>
        <v>86</v>
      </c>
      <c r="AJ68" s="30">
        <f>73+50+4</f>
        <v>127</v>
      </c>
    </row>
    <row r="69" spans="1:69" ht="80.099999999999994" customHeight="1">
      <c r="A69" s="131" t="s">
        <v>32</v>
      </c>
      <c r="B69" s="101" t="s">
        <v>1054</v>
      </c>
      <c r="C69" s="84" t="s">
        <v>917</v>
      </c>
      <c r="D69" s="64" t="s">
        <v>169</v>
      </c>
      <c r="E69" s="103"/>
      <c r="F69" s="77" t="s">
        <v>170</v>
      </c>
      <c r="G69" s="29"/>
      <c r="H69" s="29"/>
      <c r="J69" s="30">
        <f>21+1</f>
        <v>22</v>
      </c>
      <c r="K69" s="30">
        <v>21</v>
      </c>
      <c r="L69" s="30">
        <v>20</v>
      </c>
      <c r="M69" s="30">
        <v>18</v>
      </c>
      <c r="N69" s="30">
        <f>14+1</f>
        <v>15</v>
      </c>
      <c r="O69" s="30">
        <f>16+1</f>
        <v>17</v>
      </c>
      <c r="P69" s="30">
        <v>16</v>
      </c>
      <c r="Q69" s="30">
        <f>13+15+1</f>
        <v>29</v>
      </c>
      <c r="R69" s="30">
        <f>7+15+1</f>
        <v>23</v>
      </c>
      <c r="S69" s="30">
        <f>1+15+4</f>
        <v>20</v>
      </c>
      <c r="T69" s="30">
        <f>13+20+3</f>
        <v>36</v>
      </c>
      <c r="U69" s="30">
        <f>12+20+1</f>
        <v>33</v>
      </c>
      <c r="V69" s="30">
        <f>11+50</f>
        <v>61</v>
      </c>
      <c r="W69" s="30">
        <f>53+4</f>
        <v>57</v>
      </c>
      <c r="X69" s="30">
        <f>52+3</f>
        <v>55</v>
      </c>
      <c r="Y69" s="30">
        <f>55+1</f>
        <v>56</v>
      </c>
      <c r="Z69" s="30">
        <v>55</v>
      </c>
      <c r="AA69" s="30">
        <f>51+1</f>
        <v>52</v>
      </c>
      <c r="AB69" s="30">
        <f>51+1</f>
        <v>52</v>
      </c>
      <c r="AC69" s="30">
        <v>48</v>
      </c>
      <c r="AD69" s="30">
        <f>44+1</f>
        <v>45</v>
      </c>
      <c r="AE69" s="30">
        <f>15+28</f>
        <v>43</v>
      </c>
      <c r="AF69" s="30">
        <v>40</v>
      </c>
      <c r="AG69" s="30">
        <f>33+3</f>
        <v>36</v>
      </c>
      <c r="AH69" s="30">
        <v>30</v>
      </c>
      <c r="AI69" s="30">
        <f>25+3</f>
        <v>28</v>
      </c>
      <c r="AJ69" s="30">
        <f>26+10+2</f>
        <v>38</v>
      </c>
    </row>
    <row r="70" spans="1:69" ht="80.099999999999994" customHeight="1">
      <c r="A70" s="132" t="s">
        <v>3</v>
      </c>
      <c r="B70" s="102"/>
      <c r="C70" s="75" t="s">
        <v>172</v>
      </c>
      <c r="D70" s="58" t="s">
        <v>171</v>
      </c>
      <c r="E70" s="94"/>
      <c r="F70" s="77" t="s">
        <v>173</v>
      </c>
      <c r="G70" s="25"/>
      <c r="H70" s="25"/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f>0+20</f>
        <v>20</v>
      </c>
      <c r="AI70" s="30">
        <v>19</v>
      </c>
      <c r="AJ70" s="30">
        <v>17</v>
      </c>
    </row>
    <row r="71" spans="1:69" ht="80.099999999999994" customHeight="1">
      <c r="A71" s="122" t="s">
        <v>8</v>
      </c>
      <c r="B71" s="74" t="s">
        <v>1414</v>
      </c>
      <c r="C71" s="78" t="s">
        <v>918</v>
      </c>
      <c r="D71" s="96" t="s">
        <v>174</v>
      </c>
      <c r="E71" s="76">
        <v>6</v>
      </c>
      <c r="F71" s="77" t="s">
        <v>175</v>
      </c>
      <c r="G71" s="25"/>
      <c r="H71" s="25"/>
      <c r="J71" s="30">
        <v>10</v>
      </c>
      <c r="K71" s="30">
        <v>10</v>
      </c>
      <c r="L71" s="30">
        <v>9</v>
      </c>
      <c r="M71" s="30">
        <f>6+1</f>
        <v>7</v>
      </c>
      <c r="N71" s="30">
        <v>6</v>
      </c>
      <c r="O71" s="30">
        <v>6</v>
      </c>
      <c r="P71" s="30">
        <v>5</v>
      </c>
      <c r="Q71" s="30">
        <f>5+4</f>
        <v>9</v>
      </c>
      <c r="R71" s="30">
        <v>7</v>
      </c>
      <c r="S71" s="30">
        <v>7</v>
      </c>
      <c r="T71" s="30">
        <f>7+5</f>
        <v>12</v>
      </c>
      <c r="U71" s="30">
        <f>6+5+1</f>
        <v>12</v>
      </c>
      <c r="V71" s="30">
        <v>11</v>
      </c>
      <c r="W71" s="30">
        <v>10</v>
      </c>
      <c r="X71" s="30">
        <v>10</v>
      </c>
      <c r="Y71" s="30">
        <v>10</v>
      </c>
      <c r="Z71" s="30">
        <v>10</v>
      </c>
      <c r="AA71" s="30">
        <v>10</v>
      </c>
      <c r="AB71" s="30">
        <v>11</v>
      </c>
      <c r="AC71" s="30">
        <v>11</v>
      </c>
      <c r="AD71" s="30">
        <v>11</v>
      </c>
      <c r="AE71" s="30">
        <v>10</v>
      </c>
      <c r="AF71" s="30">
        <v>10</v>
      </c>
      <c r="AG71" s="30">
        <v>10</v>
      </c>
      <c r="AH71" s="30">
        <v>9</v>
      </c>
      <c r="AI71" s="30">
        <v>8</v>
      </c>
      <c r="AJ71" s="30">
        <v>8</v>
      </c>
    </row>
    <row r="72" spans="1:69" ht="80.099999999999994" customHeight="1">
      <c r="A72" s="127" t="s">
        <v>1406</v>
      </c>
      <c r="B72" s="86"/>
      <c r="C72" s="84" t="s">
        <v>177</v>
      </c>
      <c r="D72" s="60" t="s">
        <v>176</v>
      </c>
      <c r="E72" s="89"/>
      <c r="F72" s="77" t="s">
        <v>178</v>
      </c>
      <c r="G72" s="25"/>
      <c r="H72" s="25"/>
      <c r="J72" s="30">
        <v>28</v>
      </c>
      <c r="K72" s="30">
        <v>28</v>
      </c>
      <c r="L72" s="30">
        <v>28</v>
      </c>
      <c r="M72" s="30">
        <f>27</f>
        <v>27</v>
      </c>
      <c r="N72" s="30">
        <f>22+2</f>
        <v>24</v>
      </c>
      <c r="O72" s="30">
        <v>22</v>
      </c>
      <c r="P72" s="30">
        <v>22</v>
      </c>
      <c r="Q72" s="30">
        <v>22</v>
      </c>
      <c r="R72" s="30">
        <f>21+1</f>
        <v>22</v>
      </c>
      <c r="S72" s="30">
        <v>21</v>
      </c>
      <c r="T72" s="30">
        <v>21</v>
      </c>
      <c r="U72" s="30">
        <v>21</v>
      </c>
      <c r="V72" s="30">
        <v>21</v>
      </c>
      <c r="W72" s="30">
        <v>18</v>
      </c>
      <c r="X72" s="30">
        <v>18</v>
      </c>
      <c r="Y72" s="30">
        <v>18</v>
      </c>
      <c r="Z72" s="30">
        <v>18</v>
      </c>
      <c r="AA72" s="30">
        <v>18</v>
      </c>
      <c r="AB72" s="30">
        <v>18</v>
      </c>
      <c r="AC72" s="30">
        <v>18</v>
      </c>
      <c r="AD72" s="30">
        <v>18</v>
      </c>
      <c r="AE72" s="30">
        <v>16</v>
      </c>
      <c r="AF72" s="30">
        <f>14+1</f>
        <v>15</v>
      </c>
      <c r="AG72" s="30">
        <f>13+1</f>
        <v>14</v>
      </c>
      <c r="AH72" s="30">
        <f>11+2</f>
        <v>13</v>
      </c>
      <c r="AI72" s="30">
        <v>12</v>
      </c>
      <c r="AJ72" s="30">
        <v>12</v>
      </c>
    </row>
    <row r="73" spans="1:69" ht="80.099999999999994" customHeight="1">
      <c r="A73" s="127" t="s">
        <v>1404</v>
      </c>
      <c r="B73" s="86"/>
      <c r="C73" s="75" t="s">
        <v>1040</v>
      </c>
      <c r="D73" s="56" t="s">
        <v>1035</v>
      </c>
      <c r="E73" s="89"/>
      <c r="F73" s="81" t="s">
        <v>1039</v>
      </c>
      <c r="G73" s="25"/>
      <c r="H73" s="25"/>
      <c r="I73" s="30"/>
      <c r="AG73" s="30">
        <f>0+5</f>
        <v>5</v>
      </c>
      <c r="AH73" s="30">
        <v>4</v>
      </c>
      <c r="AI73" s="30">
        <v>4</v>
      </c>
      <c r="AJ73" s="30">
        <v>3</v>
      </c>
    </row>
    <row r="74" spans="1:69" ht="80.099999999999994" customHeight="1">
      <c r="A74" s="122" t="s">
        <v>1404</v>
      </c>
      <c r="B74" s="74"/>
      <c r="C74" s="75" t="s">
        <v>1157</v>
      </c>
      <c r="D74" s="56" t="s">
        <v>1156</v>
      </c>
      <c r="E74" s="80"/>
      <c r="F74" s="81" t="s">
        <v>1193</v>
      </c>
      <c r="G74" s="23"/>
      <c r="H74" s="25"/>
      <c r="I74" s="49"/>
      <c r="AI74" s="30">
        <v>0</v>
      </c>
      <c r="AJ74" s="30">
        <f>0+5</f>
        <v>5</v>
      </c>
    </row>
    <row r="75" spans="1:69" ht="80.099999999999994" customHeight="1">
      <c r="A75" s="127" t="s">
        <v>8</v>
      </c>
      <c r="B75" s="86" t="s">
        <v>1061</v>
      </c>
      <c r="C75" s="78" t="s">
        <v>180</v>
      </c>
      <c r="D75" s="58" t="s">
        <v>179</v>
      </c>
      <c r="E75" s="76">
        <v>7</v>
      </c>
      <c r="F75" s="77" t="s">
        <v>181</v>
      </c>
      <c r="G75" s="25"/>
      <c r="H75" s="25"/>
      <c r="J75" s="30">
        <f>5</f>
        <v>5</v>
      </c>
      <c r="K75" s="30">
        <f>3+1</f>
        <v>4</v>
      </c>
      <c r="L75" s="30">
        <f>1+1</f>
        <v>2</v>
      </c>
      <c r="M75" s="30">
        <f>0+1</f>
        <v>1</v>
      </c>
      <c r="N75" s="30">
        <f>0+10</f>
        <v>10</v>
      </c>
      <c r="O75" s="30">
        <f>0+10</f>
        <v>10</v>
      </c>
      <c r="P75" s="30">
        <f>0+10</f>
        <v>10</v>
      </c>
      <c r="Q75" s="30">
        <f>0+10</f>
        <v>10</v>
      </c>
      <c r="R75" s="30">
        <f>0+10</f>
        <v>10</v>
      </c>
      <c r="S75" s="30">
        <f>0+10</f>
        <v>10</v>
      </c>
      <c r="T75" s="30">
        <v>8</v>
      </c>
      <c r="U75" s="30">
        <f>6+2</f>
        <v>8</v>
      </c>
      <c r="V75" s="30">
        <f>6+10</f>
        <v>16</v>
      </c>
      <c r="W75" s="30">
        <f>5+3</f>
        <v>8</v>
      </c>
      <c r="X75" s="30">
        <v>7</v>
      </c>
      <c r="Y75" s="30">
        <v>6</v>
      </c>
      <c r="Z75" s="30">
        <f>6+10</f>
        <v>16</v>
      </c>
      <c r="AA75" s="30">
        <f>14+2</f>
        <v>16</v>
      </c>
      <c r="AB75" s="30">
        <v>14</v>
      </c>
      <c r="AC75" s="30">
        <f>11+1</f>
        <v>12</v>
      </c>
      <c r="AD75" s="30">
        <f>9+2</f>
        <v>11</v>
      </c>
      <c r="AE75" s="30">
        <v>9</v>
      </c>
      <c r="AF75" s="30">
        <f>5+10</f>
        <v>15</v>
      </c>
      <c r="AG75" s="30">
        <v>14</v>
      </c>
      <c r="AH75" s="30">
        <v>13</v>
      </c>
      <c r="AI75" s="30">
        <v>13</v>
      </c>
      <c r="AJ75" s="30">
        <f>11+0</f>
        <v>11</v>
      </c>
    </row>
    <row r="76" spans="1:69" s="30" customFormat="1" ht="80.099999999999994" customHeight="1">
      <c r="A76" s="122" t="s">
        <v>3</v>
      </c>
      <c r="B76" s="74"/>
      <c r="C76" s="75" t="s">
        <v>183</v>
      </c>
      <c r="D76" s="58" t="s">
        <v>182</v>
      </c>
      <c r="E76" s="76"/>
      <c r="F76" s="77" t="s">
        <v>184</v>
      </c>
      <c r="G76" s="25"/>
      <c r="H76" s="25"/>
      <c r="I76" s="23"/>
      <c r="J76" s="30">
        <v>12</v>
      </c>
      <c r="K76" s="30">
        <v>12</v>
      </c>
      <c r="L76" s="30">
        <v>12</v>
      </c>
      <c r="M76" s="30">
        <v>12</v>
      </c>
      <c r="N76" s="30">
        <v>12</v>
      </c>
      <c r="O76" s="30">
        <v>12</v>
      </c>
      <c r="P76" s="30">
        <v>12</v>
      </c>
      <c r="Q76" s="30">
        <v>12</v>
      </c>
      <c r="R76" s="30">
        <v>12</v>
      </c>
      <c r="S76" s="30">
        <v>12</v>
      </c>
      <c r="T76" s="30">
        <v>12</v>
      </c>
      <c r="U76" s="30">
        <v>12</v>
      </c>
      <c r="V76" s="30">
        <v>12</v>
      </c>
      <c r="W76" s="30">
        <v>12</v>
      </c>
      <c r="X76" s="30">
        <v>12</v>
      </c>
      <c r="Y76" s="30">
        <v>12</v>
      </c>
      <c r="Z76" s="30">
        <v>12</v>
      </c>
      <c r="AA76" s="30">
        <v>12</v>
      </c>
      <c r="AB76" s="30">
        <v>12</v>
      </c>
      <c r="AC76" s="30">
        <v>12</v>
      </c>
      <c r="AD76" s="30">
        <v>12</v>
      </c>
      <c r="AE76" s="30">
        <v>12</v>
      </c>
      <c r="AF76" s="30">
        <v>12</v>
      </c>
      <c r="AG76" s="30">
        <v>12</v>
      </c>
      <c r="AH76" s="30">
        <v>12</v>
      </c>
      <c r="AI76" s="30">
        <v>12</v>
      </c>
      <c r="AJ76" s="30">
        <v>12</v>
      </c>
    </row>
    <row r="77" spans="1:69" s="32" customFormat="1" ht="80.099999999999994" customHeight="1">
      <c r="A77" s="127" t="s">
        <v>8</v>
      </c>
      <c r="B77" s="86" t="s">
        <v>1061</v>
      </c>
      <c r="C77" s="78" t="s">
        <v>996</v>
      </c>
      <c r="D77" s="58" t="s">
        <v>185</v>
      </c>
      <c r="E77" s="76">
        <v>8</v>
      </c>
      <c r="F77" s="77" t="s">
        <v>186</v>
      </c>
      <c r="G77" s="25"/>
      <c r="H77" s="25"/>
      <c r="I77" s="23"/>
      <c r="J77" s="30">
        <v>0</v>
      </c>
      <c r="K77" s="30">
        <v>0</v>
      </c>
      <c r="L77" s="30">
        <f>0+1</f>
        <v>1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f>0+15</f>
        <v>15</v>
      </c>
      <c r="T77" s="30">
        <f>0+15</f>
        <v>15</v>
      </c>
      <c r="U77" s="30">
        <f>12+2</f>
        <v>14</v>
      </c>
      <c r="V77" s="30">
        <f>12+1</f>
        <v>13</v>
      </c>
      <c r="W77" s="30">
        <f>5+3</f>
        <v>8</v>
      </c>
      <c r="X77" s="30">
        <v>6</v>
      </c>
      <c r="Y77" s="30">
        <f>5+1</f>
        <v>6</v>
      </c>
      <c r="Z77" s="30">
        <f>6+10</f>
        <v>16</v>
      </c>
      <c r="AA77" s="30">
        <v>14</v>
      </c>
      <c r="AB77" s="30">
        <v>9</v>
      </c>
      <c r="AC77" s="30">
        <v>9</v>
      </c>
      <c r="AD77" s="30">
        <f>8+10</f>
        <v>18</v>
      </c>
      <c r="AE77" s="30">
        <f>8+8</f>
        <v>16</v>
      </c>
      <c r="AF77" s="30">
        <v>13</v>
      </c>
      <c r="AG77" s="30">
        <f>9+10</f>
        <v>19</v>
      </c>
      <c r="AH77" s="30">
        <f>9+10</f>
        <v>19</v>
      </c>
      <c r="AI77" s="30">
        <f>11+8</f>
        <v>19</v>
      </c>
      <c r="AJ77" s="30">
        <f>11+7</f>
        <v>18</v>
      </c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</row>
    <row r="78" spans="1:69" ht="80.099999999999994" customHeight="1">
      <c r="A78" s="131" t="s">
        <v>8</v>
      </c>
      <c r="B78" s="101" t="s">
        <v>1062</v>
      </c>
      <c r="C78" s="78" t="s">
        <v>908</v>
      </c>
      <c r="D78" s="58" t="s">
        <v>187</v>
      </c>
      <c r="E78" s="92">
        <v>8</v>
      </c>
      <c r="F78" s="77" t="s">
        <v>188</v>
      </c>
      <c r="G78" s="29"/>
      <c r="H78" s="29"/>
      <c r="J78" s="30">
        <f>10</f>
        <v>10</v>
      </c>
      <c r="K78" s="30">
        <f>10+1</f>
        <v>11</v>
      </c>
      <c r="L78" s="30">
        <v>10</v>
      </c>
      <c r="M78" s="30">
        <v>10</v>
      </c>
      <c r="N78" s="30">
        <f>9</f>
        <v>9</v>
      </c>
      <c r="O78" s="30">
        <f>5+3</f>
        <v>8</v>
      </c>
      <c r="P78" s="30">
        <v>5</v>
      </c>
      <c r="Q78" s="30">
        <f>3+10</f>
        <v>13</v>
      </c>
      <c r="R78" s="30">
        <f>9+0</f>
        <v>9</v>
      </c>
      <c r="S78" s="30">
        <v>7</v>
      </c>
      <c r="T78" s="30">
        <f>5+10+2</f>
        <v>17</v>
      </c>
      <c r="U78" s="30">
        <f>3+10+1</f>
        <v>14</v>
      </c>
      <c r="V78" s="30">
        <v>14</v>
      </c>
      <c r="W78" s="30">
        <v>11</v>
      </c>
      <c r="X78" s="30">
        <f>8+1</f>
        <v>9</v>
      </c>
      <c r="Y78" s="30">
        <v>8</v>
      </c>
      <c r="Z78" s="30">
        <f>8+10</f>
        <v>18</v>
      </c>
      <c r="AA78" s="30">
        <v>18</v>
      </c>
      <c r="AB78" s="30">
        <v>17</v>
      </c>
      <c r="AC78" s="30">
        <f>15+1</f>
        <v>16</v>
      </c>
      <c r="AD78" s="30">
        <v>12</v>
      </c>
      <c r="AE78" s="30">
        <f>13+5</f>
        <v>18</v>
      </c>
      <c r="AF78" s="30">
        <f>9+5</f>
        <v>14</v>
      </c>
      <c r="AG78" s="30">
        <f>11+2</f>
        <v>13</v>
      </c>
      <c r="AH78" s="30">
        <f>9+2</f>
        <v>11</v>
      </c>
      <c r="AI78" s="30">
        <f>9+2</f>
        <v>11</v>
      </c>
      <c r="AJ78" s="30">
        <f>9+1</f>
        <v>10</v>
      </c>
    </row>
    <row r="79" spans="1:69" ht="80.099999999999994" customHeight="1">
      <c r="A79" s="131" t="s">
        <v>8</v>
      </c>
      <c r="B79" s="101" t="s">
        <v>1062</v>
      </c>
      <c r="C79" s="78" t="s">
        <v>919</v>
      </c>
      <c r="D79" s="58" t="s">
        <v>189</v>
      </c>
      <c r="E79" s="104">
        <v>7</v>
      </c>
      <c r="F79" s="77" t="s">
        <v>190</v>
      </c>
      <c r="G79" s="29"/>
      <c r="H79" s="29"/>
      <c r="J79" s="30">
        <f>47+11</f>
        <v>58</v>
      </c>
      <c r="K79" s="30">
        <f>48+4</f>
        <v>52</v>
      </c>
      <c r="L79" s="30">
        <f>42+4</f>
        <v>46</v>
      </c>
      <c r="M79" s="30">
        <f>39+4</f>
        <v>43</v>
      </c>
      <c r="N79" s="30">
        <f>28+7</f>
        <v>35</v>
      </c>
      <c r="O79" s="30">
        <f>24+4</f>
        <v>28</v>
      </c>
      <c r="P79" s="30">
        <f>22+4</f>
        <v>26</v>
      </c>
      <c r="Q79" s="30">
        <f>13+8</f>
        <v>21</v>
      </c>
      <c r="R79" s="30">
        <f>0+7</f>
        <v>7</v>
      </c>
      <c r="S79" s="30">
        <f>0+30+1</f>
        <v>31</v>
      </c>
      <c r="T79" s="30">
        <f>0+30</f>
        <v>30</v>
      </c>
      <c r="U79" s="30">
        <f>0+30+26</f>
        <v>56</v>
      </c>
      <c r="V79" s="30">
        <f>7+30+17</f>
        <v>54</v>
      </c>
      <c r="W79" s="30">
        <f>9+2</f>
        <v>11</v>
      </c>
      <c r="X79" s="30">
        <f>50+1</f>
        <v>51</v>
      </c>
      <c r="Y79" s="30">
        <f>0+50</f>
        <v>50</v>
      </c>
      <c r="Z79" s="30">
        <f>0+50+1</f>
        <v>51</v>
      </c>
      <c r="AA79" s="30">
        <f>15+27</f>
        <v>42</v>
      </c>
      <c r="AB79" s="30">
        <f>29+5</f>
        <v>34</v>
      </c>
      <c r="AC79" s="30">
        <f>19+4</f>
        <v>23</v>
      </c>
      <c r="AD79" s="30">
        <f>9+2+30</f>
        <v>41</v>
      </c>
      <c r="AE79" s="30">
        <f>10+20</f>
        <v>30</v>
      </c>
      <c r="AF79" s="30">
        <f>15+7</f>
        <v>22</v>
      </c>
      <c r="AG79" s="30">
        <f>11+30+4</f>
        <v>45</v>
      </c>
      <c r="AH79" s="30">
        <f>12+30+2</f>
        <v>44</v>
      </c>
      <c r="AI79" s="30">
        <f>13+29</f>
        <v>42</v>
      </c>
      <c r="AJ79" s="30">
        <f>12+24</f>
        <v>36</v>
      </c>
    </row>
    <row r="80" spans="1:69" ht="80.099999999999994" customHeight="1">
      <c r="A80" s="122" t="s">
        <v>1406</v>
      </c>
      <c r="B80" s="74"/>
      <c r="C80" s="78" t="s">
        <v>192</v>
      </c>
      <c r="D80" s="58" t="s">
        <v>191</v>
      </c>
      <c r="E80" s="76"/>
      <c r="F80" s="77" t="s">
        <v>193</v>
      </c>
      <c r="G80" s="25"/>
      <c r="H80" s="25"/>
      <c r="J80" s="30">
        <v>10</v>
      </c>
      <c r="K80" s="30">
        <v>10</v>
      </c>
      <c r="L80" s="30">
        <v>10</v>
      </c>
      <c r="M80" s="30">
        <v>11</v>
      </c>
      <c r="N80" s="30">
        <v>11</v>
      </c>
      <c r="O80" s="30">
        <v>11</v>
      </c>
      <c r="P80" s="30">
        <v>11</v>
      </c>
      <c r="Q80" s="30">
        <v>11</v>
      </c>
      <c r="R80" s="30">
        <v>11</v>
      </c>
      <c r="S80" s="30">
        <v>11</v>
      </c>
      <c r="T80" s="30">
        <v>11</v>
      </c>
      <c r="U80" s="30">
        <v>11</v>
      </c>
      <c r="V80" s="30">
        <v>11</v>
      </c>
      <c r="W80" s="30">
        <v>11</v>
      </c>
      <c r="X80" s="30">
        <v>11</v>
      </c>
      <c r="Y80" s="30">
        <v>11</v>
      </c>
      <c r="Z80" s="30">
        <v>11</v>
      </c>
      <c r="AA80" s="30">
        <v>11</v>
      </c>
      <c r="AB80" s="30">
        <v>11</v>
      </c>
      <c r="AC80" s="30">
        <v>11</v>
      </c>
      <c r="AD80" s="30">
        <v>11</v>
      </c>
      <c r="AE80" s="30">
        <v>11</v>
      </c>
      <c r="AF80" s="30">
        <v>11</v>
      </c>
      <c r="AG80" s="30">
        <v>11</v>
      </c>
      <c r="AH80" s="30">
        <v>11</v>
      </c>
      <c r="AI80" s="30">
        <v>11</v>
      </c>
      <c r="AJ80" s="30">
        <v>11</v>
      </c>
    </row>
    <row r="81" spans="1:69" ht="80.099999999999994" customHeight="1">
      <c r="A81" s="127" t="s">
        <v>32</v>
      </c>
      <c r="B81" s="86" t="s">
        <v>1054</v>
      </c>
      <c r="C81" s="78" t="s">
        <v>195</v>
      </c>
      <c r="D81" s="58" t="s">
        <v>194</v>
      </c>
      <c r="E81" s="76"/>
      <c r="F81" s="77" t="s">
        <v>196</v>
      </c>
      <c r="G81" s="25"/>
      <c r="H81" s="25"/>
      <c r="J81" s="30">
        <f>17+1</f>
        <v>18</v>
      </c>
      <c r="K81" s="30">
        <f>17+1</f>
        <v>18</v>
      </c>
      <c r="L81" s="30">
        <v>17</v>
      </c>
      <c r="M81" s="30">
        <f>15+2</f>
        <v>17</v>
      </c>
      <c r="N81" s="30">
        <f>12+3</f>
        <v>15</v>
      </c>
      <c r="O81" s="30">
        <f>13+1</f>
        <v>14</v>
      </c>
      <c r="P81" s="30">
        <f>14+1</f>
        <v>15</v>
      </c>
      <c r="Q81" s="30">
        <f>14+10+1</f>
        <v>25</v>
      </c>
      <c r="R81" s="30">
        <f>13+10+2</f>
        <v>25</v>
      </c>
      <c r="S81" s="30">
        <f>10+10+2</f>
        <v>22</v>
      </c>
      <c r="T81" s="30">
        <f>20+1</f>
        <v>21</v>
      </c>
      <c r="U81" s="30">
        <f>19+1</f>
        <v>20</v>
      </c>
      <c r="V81" s="30">
        <f>19+20</f>
        <v>39</v>
      </c>
      <c r="W81" s="30">
        <v>34</v>
      </c>
      <c r="X81" s="30">
        <v>34</v>
      </c>
      <c r="Y81" s="30">
        <v>34</v>
      </c>
      <c r="Z81" s="30">
        <v>34</v>
      </c>
      <c r="AA81" s="30">
        <v>32</v>
      </c>
      <c r="AB81" s="30">
        <f>29+1</f>
        <v>30</v>
      </c>
      <c r="AC81" s="30">
        <f>28</f>
        <v>28</v>
      </c>
      <c r="AD81" s="30">
        <f>15+11</f>
        <v>26</v>
      </c>
      <c r="AE81" s="30">
        <f>23+2</f>
        <v>25</v>
      </c>
      <c r="AF81" s="30">
        <f>8</f>
        <v>8</v>
      </c>
      <c r="AG81" s="30">
        <f>6+25+1</f>
        <v>32</v>
      </c>
      <c r="AH81" s="30">
        <f>2+25</f>
        <v>27</v>
      </c>
      <c r="AI81" s="30">
        <f>2+22</f>
        <v>24</v>
      </c>
      <c r="AJ81" s="30">
        <f>0+17</f>
        <v>17</v>
      </c>
    </row>
    <row r="82" spans="1:69" ht="80.099999999999994" customHeight="1">
      <c r="A82" s="122" t="s">
        <v>8</v>
      </c>
      <c r="B82" s="74" t="s">
        <v>1414</v>
      </c>
      <c r="C82" s="78" t="s">
        <v>198</v>
      </c>
      <c r="D82" s="58" t="s">
        <v>197</v>
      </c>
      <c r="E82" s="76">
        <v>6</v>
      </c>
      <c r="F82" s="77" t="s">
        <v>199</v>
      </c>
      <c r="G82" s="25"/>
      <c r="H82" s="25"/>
      <c r="J82" s="30">
        <v>5</v>
      </c>
      <c r="K82" s="30">
        <v>5</v>
      </c>
      <c r="L82" s="30">
        <v>5</v>
      </c>
      <c r="M82" s="30">
        <v>5</v>
      </c>
      <c r="N82" s="30">
        <v>5</v>
      </c>
      <c r="O82" s="30">
        <v>5</v>
      </c>
      <c r="P82" s="30">
        <v>5</v>
      </c>
      <c r="Q82" s="30">
        <v>5</v>
      </c>
      <c r="R82" s="30">
        <v>5</v>
      </c>
      <c r="S82" s="30">
        <v>5</v>
      </c>
      <c r="T82" s="30">
        <v>5</v>
      </c>
      <c r="U82" s="30">
        <v>5</v>
      </c>
      <c r="V82" s="30">
        <v>5</v>
      </c>
      <c r="W82" s="30">
        <v>5</v>
      </c>
      <c r="X82" s="30">
        <v>5</v>
      </c>
      <c r="Y82" s="30">
        <v>5</v>
      </c>
      <c r="Z82" s="30">
        <v>5</v>
      </c>
      <c r="AA82" s="30">
        <v>5</v>
      </c>
      <c r="AB82" s="30">
        <v>5</v>
      </c>
      <c r="AC82" s="30">
        <v>4</v>
      </c>
      <c r="AD82" s="30">
        <v>4</v>
      </c>
      <c r="AE82" s="30">
        <v>4</v>
      </c>
      <c r="AF82" s="30">
        <v>4</v>
      </c>
      <c r="AG82" s="30">
        <v>4</v>
      </c>
      <c r="AH82" s="30">
        <v>4</v>
      </c>
      <c r="AI82" s="30">
        <v>4</v>
      </c>
      <c r="AJ82" s="30">
        <v>4</v>
      </c>
    </row>
    <row r="83" spans="1:69" ht="80.099999999999994" customHeight="1">
      <c r="A83" s="122" t="s">
        <v>8</v>
      </c>
      <c r="B83" s="74" t="s">
        <v>1064</v>
      </c>
      <c r="C83" s="78" t="s">
        <v>201</v>
      </c>
      <c r="D83" s="58" t="s">
        <v>200</v>
      </c>
      <c r="E83" s="76">
        <v>9</v>
      </c>
      <c r="F83" s="77" t="s">
        <v>202</v>
      </c>
      <c r="G83" s="25"/>
      <c r="H83" s="25"/>
      <c r="J83" s="30">
        <v>2</v>
      </c>
      <c r="K83" s="30">
        <v>2</v>
      </c>
      <c r="L83" s="30">
        <v>2</v>
      </c>
      <c r="M83" s="30">
        <v>2</v>
      </c>
      <c r="N83" s="30">
        <v>2</v>
      </c>
      <c r="O83" s="30">
        <v>2</v>
      </c>
      <c r="P83" s="30">
        <v>2</v>
      </c>
      <c r="Q83" s="30">
        <v>2</v>
      </c>
      <c r="R83" s="30">
        <v>2</v>
      </c>
      <c r="S83" s="30">
        <v>2</v>
      </c>
      <c r="T83" s="30">
        <v>2</v>
      </c>
      <c r="U83" s="30">
        <v>2</v>
      </c>
      <c r="V83" s="30">
        <v>2</v>
      </c>
      <c r="W83" s="30">
        <v>2</v>
      </c>
      <c r="X83" s="30">
        <v>2</v>
      </c>
      <c r="Y83" s="30">
        <v>2</v>
      </c>
      <c r="Z83" s="30">
        <v>2</v>
      </c>
      <c r="AA83" s="30">
        <v>2</v>
      </c>
      <c r="AB83" s="30">
        <v>2</v>
      </c>
      <c r="AC83" s="30">
        <v>2</v>
      </c>
      <c r="AD83" s="30">
        <v>2</v>
      </c>
      <c r="AE83" s="30">
        <v>2</v>
      </c>
      <c r="AF83" s="30">
        <v>2</v>
      </c>
      <c r="AG83" s="30">
        <v>2</v>
      </c>
      <c r="AH83" s="30">
        <v>2</v>
      </c>
      <c r="AI83" s="30">
        <v>2</v>
      </c>
      <c r="AJ83" s="30">
        <v>2</v>
      </c>
    </row>
    <row r="84" spans="1:69" ht="80.099999999999994" customHeight="1">
      <c r="A84" s="131" t="s">
        <v>8</v>
      </c>
      <c r="B84" s="101" t="s">
        <v>1063</v>
      </c>
      <c r="C84" s="78" t="s">
        <v>204</v>
      </c>
      <c r="D84" s="58" t="s">
        <v>203</v>
      </c>
      <c r="E84" s="92">
        <v>6</v>
      </c>
      <c r="F84" s="77" t="s">
        <v>205</v>
      </c>
      <c r="G84" s="29"/>
      <c r="H84" s="29"/>
      <c r="J84" s="30">
        <v>4</v>
      </c>
      <c r="K84" s="30">
        <v>4</v>
      </c>
      <c r="L84" s="30">
        <f>2+2</f>
        <v>4</v>
      </c>
      <c r="M84" s="30">
        <v>2</v>
      </c>
      <c r="N84" s="30">
        <v>2</v>
      </c>
      <c r="O84" s="30">
        <v>2</v>
      </c>
      <c r="P84" s="30">
        <v>2</v>
      </c>
      <c r="Q84" s="30">
        <v>2</v>
      </c>
      <c r="R84" s="30">
        <v>2</v>
      </c>
      <c r="S84" s="30">
        <f>1+1</f>
        <v>2</v>
      </c>
      <c r="T84" s="30">
        <v>0</v>
      </c>
      <c r="U84" s="30">
        <v>0</v>
      </c>
      <c r="V84" s="30">
        <f>0+10</f>
        <v>10</v>
      </c>
      <c r="W84" s="30">
        <f>7+1</f>
        <v>8</v>
      </c>
      <c r="X84" s="30">
        <f>6+1</f>
        <v>7</v>
      </c>
      <c r="Y84" s="30">
        <v>7</v>
      </c>
      <c r="Z84" s="30">
        <v>7</v>
      </c>
      <c r="AA84" s="30">
        <v>7</v>
      </c>
      <c r="AB84" s="30">
        <v>7</v>
      </c>
      <c r="AC84" s="30">
        <v>7</v>
      </c>
      <c r="AD84" s="30">
        <f>6+0</f>
        <v>6</v>
      </c>
      <c r="AE84" s="30">
        <v>7</v>
      </c>
      <c r="AF84" s="30">
        <v>7</v>
      </c>
      <c r="AG84" s="30">
        <v>7</v>
      </c>
      <c r="AH84" s="30">
        <v>6</v>
      </c>
      <c r="AI84" s="30">
        <v>6</v>
      </c>
      <c r="AJ84" s="30">
        <v>6</v>
      </c>
    </row>
    <row r="85" spans="1:69" ht="80.099999999999994" customHeight="1">
      <c r="A85" s="122" t="s">
        <v>8</v>
      </c>
      <c r="B85" s="74" t="s">
        <v>1064</v>
      </c>
      <c r="C85" s="78" t="s">
        <v>207</v>
      </c>
      <c r="D85" s="58" t="s">
        <v>206</v>
      </c>
      <c r="E85" s="76">
        <v>8</v>
      </c>
      <c r="F85" s="77" t="s">
        <v>208</v>
      </c>
      <c r="G85" s="25"/>
      <c r="H85" s="25"/>
      <c r="J85" s="30">
        <v>5</v>
      </c>
      <c r="K85" s="30">
        <v>5</v>
      </c>
      <c r="L85" s="30">
        <v>5</v>
      </c>
      <c r="M85" s="30">
        <v>5</v>
      </c>
      <c r="N85" s="30">
        <v>5</v>
      </c>
      <c r="O85" s="30">
        <v>5</v>
      </c>
      <c r="P85" s="30">
        <v>5</v>
      </c>
      <c r="Q85" s="30">
        <v>5</v>
      </c>
      <c r="R85" s="30">
        <v>5</v>
      </c>
      <c r="S85" s="30">
        <v>5</v>
      </c>
      <c r="T85" s="30">
        <v>5</v>
      </c>
      <c r="U85" s="30">
        <v>5</v>
      </c>
      <c r="V85" s="30">
        <v>5</v>
      </c>
      <c r="W85" s="30">
        <v>5</v>
      </c>
      <c r="X85" s="30">
        <v>5</v>
      </c>
      <c r="Y85" s="30">
        <v>5</v>
      </c>
      <c r="Z85" s="30">
        <v>5</v>
      </c>
      <c r="AA85" s="30">
        <v>5</v>
      </c>
      <c r="AB85" s="30">
        <v>5</v>
      </c>
      <c r="AC85" s="30">
        <v>4</v>
      </c>
      <c r="AD85" s="30">
        <v>3</v>
      </c>
      <c r="AE85" s="30">
        <f>3+5</f>
        <v>8</v>
      </c>
      <c r="AF85" s="30">
        <f>3+5</f>
        <v>8</v>
      </c>
      <c r="AG85" s="30">
        <f>4+4</f>
        <v>8</v>
      </c>
      <c r="AH85" s="30">
        <f>7+1</f>
        <v>8</v>
      </c>
      <c r="AI85" s="30">
        <v>8</v>
      </c>
      <c r="AJ85" s="30">
        <v>8</v>
      </c>
    </row>
    <row r="86" spans="1:69" ht="79.5" customHeight="1">
      <c r="A86" s="125" t="s">
        <v>1405</v>
      </c>
      <c r="B86" s="79"/>
      <c r="C86" s="78" t="s">
        <v>979</v>
      </c>
      <c r="D86" s="60" t="s">
        <v>209</v>
      </c>
      <c r="E86" s="94"/>
      <c r="F86" s="77" t="s">
        <v>210</v>
      </c>
      <c r="G86" s="25"/>
      <c r="H86" s="25"/>
      <c r="J86" s="30">
        <f>18+8</f>
        <v>26</v>
      </c>
      <c r="K86" s="30">
        <v>25</v>
      </c>
      <c r="L86" s="30">
        <f>24</f>
        <v>24</v>
      </c>
      <c r="M86" s="30">
        <v>23</v>
      </c>
      <c r="N86" s="30">
        <v>20</v>
      </c>
      <c r="O86" s="30">
        <v>19</v>
      </c>
      <c r="P86" s="30">
        <v>19</v>
      </c>
      <c r="Q86" s="30">
        <v>18</v>
      </c>
      <c r="R86" s="30">
        <v>16</v>
      </c>
      <c r="S86" s="30">
        <v>16</v>
      </c>
      <c r="T86" s="30">
        <v>16</v>
      </c>
      <c r="U86" s="30">
        <f>14+1</f>
        <v>15</v>
      </c>
      <c r="V86" s="30">
        <f>11+1</f>
        <v>12</v>
      </c>
      <c r="W86" s="30">
        <f>11+1</f>
        <v>12</v>
      </c>
      <c r="X86" s="30">
        <f>12+1</f>
        <v>13</v>
      </c>
      <c r="Y86" s="30">
        <v>10</v>
      </c>
      <c r="Z86" s="30">
        <f>10+10</f>
        <v>20</v>
      </c>
      <c r="AA86" s="30">
        <v>19</v>
      </c>
      <c r="AB86" s="30">
        <f>16+0</f>
        <v>16</v>
      </c>
      <c r="AC86" s="30">
        <v>16</v>
      </c>
      <c r="AD86" s="30">
        <f>12+1</f>
        <v>13</v>
      </c>
      <c r="AE86" s="30">
        <f>9+10+2</f>
        <v>21</v>
      </c>
      <c r="AF86" s="30">
        <f>10+10</f>
        <v>20</v>
      </c>
      <c r="AG86" s="30">
        <f>11+8</f>
        <v>19</v>
      </c>
      <c r="AH86" s="30">
        <f>16+3</f>
        <v>19</v>
      </c>
      <c r="AI86" s="30">
        <f>17+2</f>
        <v>19</v>
      </c>
      <c r="AJ86" s="30">
        <v>19</v>
      </c>
    </row>
    <row r="87" spans="1:69" ht="80.099999999999994" customHeight="1">
      <c r="A87" s="122" t="s">
        <v>17</v>
      </c>
      <c r="B87" s="74" t="s">
        <v>1068</v>
      </c>
      <c r="C87" s="78" t="s">
        <v>212</v>
      </c>
      <c r="D87" s="58" t="s">
        <v>211</v>
      </c>
      <c r="E87" s="76"/>
      <c r="F87" s="77" t="s">
        <v>213</v>
      </c>
      <c r="G87" s="25"/>
      <c r="H87" s="25"/>
      <c r="I87" s="23" t="s">
        <v>20</v>
      </c>
      <c r="J87" s="32">
        <f>0+2</f>
        <v>2</v>
      </c>
      <c r="K87" s="32">
        <v>2</v>
      </c>
      <c r="L87" s="32">
        <v>1</v>
      </c>
      <c r="M87" s="32">
        <v>1</v>
      </c>
      <c r="N87" s="30">
        <f>1+5</f>
        <v>6</v>
      </c>
      <c r="O87" s="30">
        <f>1+5</f>
        <v>6</v>
      </c>
      <c r="P87" s="30">
        <f>1+5</f>
        <v>6</v>
      </c>
      <c r="Q87" s="30">
        <f>1+5</f>
        <v>6</v>
      </c>
      <c r="R87" s="30">
        <f>0+5</f>
        <v>5</v>
      </c>
      <c r="S87" s="30">
        <f>0+5</f>
        <v>5</v>
      </c>
      <c r="T87" s="30">
        <v>5</v>
      </c>
      <c r="U87" s="30">
        <v>5</v>
      </c>
      <c r="V87" s="30">
        <v>4</v>
      </c>
      <c r="W87" s="30">
        <v>2</v>
      </c>
      <c r="X87" s="30">
        <f>1+5+1</f>
        <v>7</v>
      </c>
      <c r="Y87" s="30">
        <v>6</v>
      </c>
      <c r="Z87" s="30">
        <v>6</v>
      </c>
      <c r="AA87" s="30">
        <v>5</v>
      </c>
      <c r="AB87" s="30">
        <v>5</v>
      </c>
      <c r="AC87" s="30">
        <f>5+1</f>
        <v>6</v>
      </c>
      <c r="AD87" s="30">
        <v>6</v>
      </c>
      <c r="AE87" s="30">
        <v>6</v>
      </c>
      <c r="AF87" s="30">
        <v>6</v>
      </c>
      <c r="AG87" s="30">
        <v>6</v>
      </c>
      <c r="AH87" s="30">
        <v>6</v>
      </c>
      <c r="AI87" s="30">
        <v>6</v>
      </c>
      <c r="AJ87" s="30">
        <v>6</v>
      </c>
    </row>
    <row r="88" spans="1:69" ht="80.099999999999994" customHeight="1">
      <c r="A88" s="127" t="s">
        <v>32</v>
      </c>
      <c r="B88" s="86"/>
      <c r="C88" s="84" t="s">
        <v>215</v>
      </c>
      <c r="D88" s="60" t="s">
        <v>214</v>
      </c>
      <c r="E88" s="76"/>
      <c r="F88" s="82" t="s">
        <v>216</v>
      </c>
      <c r="G88" s="25"/>
      <c r="H88" s="25"/>
      <c r="I88" s="30"/>
      <c r="J88" s="32">
        <v>0</v>
      </c>
      <c r="K88" s="32">
        <v>0</v>
      </c>
      <c r="L88" s="32">
        <v>0</v>
      </c>
      <c r="M88" s="32">
        <v>0</v>
      </c>
      <c r="N88" s="30">
        <f>0+3</f>
        <v>3</v>
      </c>
      <c r="O88" s="30">
        <f>0+3</f>
        <v>3</v>
      </c>
      <c r="P88" s="30">
        <f>0+3</f>
        <v>3</v>
      </c>
      <c r="Q88" s="30">
        <f>0+3</f>
        <v>3</v>
      </c>
      <c r="R88" s="30">
        <f>0+3</f>
        <v>3</v>
      </c>
      <c r="S88" s="30">
        <f>0+3</f>
        <v>3</v>
      </c>
      <c r="T88" s="30">
        <v>2</v>
      </c>
      <c r="U88" s="30">
        <v>2</v>
      </c>
      <c r="V88" s="30">
        <v>2</v>
      </c>
      <c r="W88" s="30">
        <v>2</v>
      </c>
      <c r="X88" s="30">
        <v>2</v>
      </c>
      <c r="Y88" s="30">
        <v>2</v>
      </c>
      <c r="Z88" s="30">
        <v>2</v>
      </c>
      <c r="AA88" s="30">
        <v>2</v>
      </c>
      <c r="AB88" s="30">
        <v>2</v>
      </c>
      <c r="AC88" s="30">
        <v>2</v>
      </c>
      <c r="AD88" s="30">
        <v>2</v>
      </c>
      <c r="AE88" s="30">
        <v>2</v>
      </c>
      <c r="AF88" s="30">
        <v>2</v>
      </c>
      <c r="AG88" s="30">
        <v>2</v>
      </c>
      <c r="AH88" s="30">
        <v>2</v>
      </c>
      <c r="AI88" s="30">
        <v>2</v>
      </c>
      <c r="AJ88" s="30">
        <v>2</v>
      </c>
    </row>
    <row r="89" spans="1:69" ht="80.099999999999994" customHeight="1">
      <c r="A89" s="122" t="s">
        <v>8</v>
      </c>
      <c r="B89" s="74" t="s">
        <v>1067</v>
      </c>
      <c r="C89" s="78" t="s">
        <v>218</v>
      </c>
      <c r="D89" s="58" t="s">
        <v>217</v>
      </c>
      <c r="E89" s="76">
        <v>7</v>
      </c>
      <c r="F89" s="77" t="s">
        <v>219</v>
      </c>
      <c r="G89" s="25"/>
      <c r="H89" s="25"/>
      <c r="J89" s="30">
        <v>5</v>
      </c>
      <c r="K89" s="30">
        <v>5</v>
      </c>
      <c r="L89" s="30">
        <v>5</v>
      </c>
      <c r="M89" s="30">
        <v>5</v>
      </c>
      <c r="N89" s="30">
        <v>5</v>
      </c>
      <c r="O89" s="30">
        <v>5</v>
      </c>
      <c r="P89" s="30">
        <v>5</v>
      </c>
      <c r="Q89" s="30">
        <v>5</v>
      </c>
      <c r="R89" s="30">
        <v>5</v>
      </c>
      <c r="S89" s="30">
        <v>5</v>
      </c>
      <c r="T89" s="30">
        <f>4+1</f>
        <v>5</v>
      </c>
      <c r="U89" s="30">
        <v>4</v>
      </c>
      <c r="V89" s="30">
        <v>4</v>
      </c>
      <c r="W89" s="30">
        <v>4</v>
      </c>
      <c r="X89" s="30">
        <v>4</v>
      </c>
      <c r="Y89" s="30">
        <v>4</v>
      </c>
      <c r="Z89" s="30">
        <v>4</v>
      </c>
      <c r="AA89" s="30">
        <v>4</v>
      </c>
      <c r="AB89" s="30">
        <v>4</v>
      </c>
      <c r="AC89" s="30">
        <v>4</v>
      </c>
      <c r="AD89" s="30">
        <v>3</v>
      </c>
      <c r="AE89" s="30">
        <v>3</v>
      </c>
      <c r="AF89" s="30">
        <v>3</v>
      </c>
      <c r="AG89" s="30">
        <v>3</v>
      </c>
      <c r="AH89" s="30">
        <v>3</v>
      </c>
      <c r="AI89" s="30">
        <v>3</v>
      </c>
      <c r="AJ89" s="30">
        <v>3</v>
      </c>
    </row>
    <row r="90" spans="1:69" ht="80.099999999999994" customHeight="1">
      <c r="A90" s="122" t="s">
        <v>1404</v>
      </c>
      <c r="B90" s="74"/>
      <c r="C90" s="75" t="s">
        <v>1163</v>
      </c>
      <c r="D90" s="56" t="s">
        <v>1162</v>
      </c>
      <c r="E90" s="80"/>
      <c r="F90" s="81" t="s">
        <v>1196</v>
      </c>
      <c r="G90" s="23"/>
      <c r="H90" s="25"/>
      <c r="I90" s="49"/>
      <c r="AI90" s="30">
        <v>0</v>
      </c>
      <c r="AJ90" s="30">
        <f>0+5</f>
        <v>5</v>
      </c>
    </row>
    <row r="91" spans="1:69" ht="80.099999999999994" customHeight="1">
      <c r="A91" s="131" t="s">
        <v>32</v>
      </c>
      <c r="B91" s="101"/>
      <c r="C91" s="84" t="s">
        <v>920</v>
      </c>
      <c r="D91" s="64" t="s">
        <v>221</v>
      </c>
      <c r="E91" s="85"/>
      <c r="F91" s="77" t="s">
        <v>222</v>
      </c>
      <c r="G91" s="29"/>
      <c r="H91" s="29"/>
      <c r="J91" s="32">
        <f>0</f>
        <v>0</v>
      </c>
      <c r="K91" s="32">
        <f>0</f>
        <v>0</v>
      </c>
      <c r="L91" s="32">
        <f>0</f>
        <v>0</v>
      </c>
      <c r="M91" s="32">
        <v>0</v>
      </c>
      <c r="N91" s="30">
        <f>0+20</f>
        <v>20</v>
      </c>
      <c r="O91" s="30">
        <f>1+20+0</f>
        <v>21</v>
      </c>
      <c r="P91" s="30">
        <f>1+20</f>
        <v>21</v>
      </c>
      <c r="Q91" s="30">
        <f>1+20</f>
        <v>21</v>
      </c>
      <c r="R91" s="30">
        <f>1+17+0</f>
        <v>18</v>
      </c>
      <c r="S91" s="30">
        <f>3+17</f>
        <v>20</v>
      </c>
      <c r="T91" s="30">
        <f>15+10+2</f>
        <v>27</v>
      </c>
      <c r="U91" s="30">
        <f>15+10</f>
        <v>25</v>
      </c>
      <c r="V91" s="30">
        <f>27+0</f>
        <v>27</v>
      </c>
      <c r="W91" s="30">
        <v>25</v>
      </c>
      <c r="X91" s="30">
        <v>23</v>
      </c>
      <c r="Y91" s="30">
        <v>22</v>
      </c>
      <c r="Z91" s="30">
        <v>22</v>
      </c>
      <c r="AA91" s="30">
        <f>22+1</f>
        <v>23</v>
      </c>
      <c r="AB91" s="30">
        <v>22</v>
      </c>
      <c r="AC91" s="30">
        <f>20+0</f>
        <v>20</v>
      </c>
      <c r="AD91" s="30">
        <v>20</v>
      </c>
      <c r="AE91" s="30">
        <v>20</v>
      </c>
      <c r="AF91" s="30">
        <v>20</v>
      </c>
      <c r="AG91" s="30">
        <v>17</v>
      </c>
      <c r="AH91" s="30">
        <f>15+1</f>
        <v>16</v>
      </c>
      <c r="AI91" s="30">
        <v>14</v>
      </c>
      <c r="AJ91" s="30">
        <f>14</f>
        <v>14</v>
      </c>
    </row>
    <row r="92" spans="1:69" ht="80.099999999999994" customHeight="1">
      <c r="A92" s="122" t="s">
        <v>1404</v>
      </c>
      <c r="B92" s="74"/>
      <c r="C92" s="75" t="s">
        <v>1153</v>
      </c>
      <c r="D92" s="56" t="s">
        <v>1152</v>
      </c>
      <c r="E92" s="80"/>
      <c r="F92" s="81" t="s">
        <v>1191</v>
      </c>
      <c r="G92" s="23"/>
      <c r="H92" s="25"/>
      <c r="I92" s="49"/>
      <c r="AI92" s="30">
        <v>0</v>
      </c>
      <c r="AJ92" s="30">
        <f>0+5</f>
        <v>5</v>
      </c>
    </row>
    <row r="93" spans="1:69" ht="80.099999999999994" customHeight="1">
      <c r="A93" s="128" t="s">
        <v>8</v>
      </c>
      <c r="B93" s="91" t="s">
        <v>1062</v>
      </c>
      <c r="C93" s="78" t="s">
        <v>980</v>
      </c>
      <c r="D93" s="58" t="s">
        <v>223</v>
      </c>
      <c r="E93" s="104">
        <v>9</v>
      </c>
      <c r="F93" s="77" t="s">
        <v>224</v>
      </c>
      <c r="G93" s="29"/>
      <c r="H93" s="29"/>
      <c r="J93" s="47">
        <v>12</v>
      </c>
      <c r="K93" s="47">
        <f>7+4</f>
        <v>11</v>
      </c>
      <c r="L93" s="47">
        <v>7</v>
      </c>
      <c r="M93" s="47">
        <f>4+1</f>
        <v>5</v>
      </c>
      <c r="N93" s="37">
        <f>0+1</f>
        <v>1</v>
      </c>
      <c r="O93" s="37">
        <f>0</f>
        <v>0</v>
      </c>
      <c r="P93" s="37">
        <v>0</v>
      </c>
      <c r="Q93" s="37">
        <f>0+1</f>
        <v>1</v>
      </c>
      <c r="R93" s="37">
        <v>0</v>
      </c>
      <c r="S93" s="37">
        <f>0+50</f>
        <v>50</v>
      </c>
      <c r="T93" s="37">
        <f>0+1</f>
        <v>1</v>
      </c>
      <c r="U93" s="37">
        <f>1+48</f>
        <v>49</v>
      </c>
      <c r="V93" s="37">
        <f>17+24</f>
        <v>41</v>
      </c>
      <c r="W93" s="37">
        <f>19+30+2</f>
        <v>51</v>
      </c>
      <c r="X93" s="37">
        <f>13+30</f>
        <v>43</v>
      </c>
      <c r="Y93" s="37">
        <f>35+1</f>
        <v>36</v>
      </c>
      <c r="Z93" s="37">
        <f>34+30</f>
        <v>64</v>
      </c>
      <c r="AA93" s="37">
        <f>59+2</f>
        <v>61</v>
      </c>
      <c r="AB93" s="37">
        <f>49+8</f>
        <v>57</v>
      </c>
      <c r="AC93" s="37">
        <f>44+4</f>
        <v>48</v>
      </c>
      <c r="AD93" s="37">
        <f>41+20</f>
        <v>61</v>
      </c>
      <c r="AE93" s="37">
        <f>38+17</f>
        <v>55</v>
      </c>
      <c r="AF93" s="37">
        <f>47+2</f>
        <v>49</v>
      </c>
      <c r="AG93" s="37">
        <f>43</f>
        <v>43</v>
      </c>
      <c r="AH93" s="37">
        <f>33+5</f>
        <v>38</v>
      </c>
      <c r="AI93" s="37">
        <v>38</v>
      </c>
      <c r="AJ93" s="37">
        <f>35+1</f>
        <v>36</v>
      </c>
    </row>
    <row r="94" spans="1:69" s="32" customFormat="1" ht="80.099999999999994" customHeight="1">
      <c r="A94" s="128" t="s">
        <v>17</v>
      </c>
      <c r="B94" s="91" t="s">
        <v>1068</v>
      </c>
      <c r="C94" s="75" t="s">
        <v>226</v>
      </c>
      <c r="D94" s="64" t="s">
        <v>225</v>
      </c>
      <c r="E94" s="92"/>
      <c r="F94" s="77" t="s">
        <v>227</v>
      </c>
      <c r="G94" s="36" t="s">
        <v>129</v>
      </c>
      <c r="H94" s="36"/>
      <c r="I94" s="23"/>
      <c r="J94" s="30">
        <v>2</v>
      </c>
      <c r="K94" s="30">
        <v>2</v>
      </c>
      <c r="L94" s="30">
        <v>2</v>
      </c>
      <c r="M94" s="30">
        <v>1</v>
      </c>
      <c r="N94" s="30">
        <f>0+5+1</f>
        <v>6</v>
      </c>
      <c r="O94" s="30">
        <f>0+5</f>
        <v>5</v>
      </c>
      <c r="P94" s="30">
        <f>0+5</f>
        <v>5</v>
      </c>
      <c r="Q94" s="30">
        <f>0+5</f>
        <v>5</v>
      </c>
      <c r="R94" s="30">
        <f>0+4+1</f>
        <v>5</v>
      </c>
      <c r="S94" s="30">
        <f>0+4</f>
        <v>4</v>
      </c>
      <c r="T94" s="30">
        <v>2</v>
      </c>
      <c r="U94" s="30">
        <v>2</v>
      </c>
      <c r="V94" s="30">
        <f>1+10</f>
        <v>11</v>
      </c>
      <c r="W94" s="30">
        <v>12</v>
      </c>
      <c r="X94" s="30">
        <v>12</v>
      </c>
      <c r="Y94" s="30">
        <v>12</v>
      </c>
      <c r="Z94" s="30">
        <v>12</v>
      </c>
      <c r="AA94" s="30">
        <v>10</v>
      </c>
      <c r="AB94" s="30">
        <v>10</v>
      </c>
      <c r="AC94" s="30">
        <v>9</v>
      </c>
      <c r="AD94" s="30">
        <f>7+1</f>
        <v>8</v>
      </c>
      <c r="AE94" s="30">
        <v>8</v>
      </c>
      <c r="AF94" s="30">
        <v>7</v>
      </c>
      <c r="AG94" s="30">
        <v>7</v>
      </c>
      <c r="AH94" s="30">
        <f>7+1</f>
        <v>8</v>
      </c>
      <c r="AI94" s="30">
        <v>7</v>
      </c>
      <c r="AJ94" s="30">
        <v>7</v>
      </c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</row>
    <row r="95" spans="1:69" ht="80.099999999999994" customHeight="1">
      <c r="A95" s="122" t="s">
        <v>1439</v>
      </c>
      <c r="B95" s="74"/>
      <c r="C95" s="75" t="s">
        <v>1175</v>
      </c>
      <c r="D95" s="56" t="s">
        <v>1174</v>
      </c>
      <c r="E95" s="80"/>
      <c r="F95" s="81" t="s">
        <v>1202</v>
      </c>
      <c r="G95" s="23"/>
      <c r="H95" s="25"/>
      <c r="I95" s="49"/>
      <c r="AI95" s="30">
        <v>0</v>
      </c>
      <c r="AJ95" s="30">
        <f>0+10</f>
        <v>10</v>
      </c>
    </row>
    <row r="96" spans="1:69" ht="80.099999999999994" customHeight="1">
      <c r="A96" s="122" t="s">
        <v>1439</v>
      </c>
      <c r="B96" s="74"/>
      <c r="C96" s="75" t="s">
        <v>1173</v>
      </c>
      <c r="D96" s="56" t="s">
        <v>1172</v>
      </c>
      <c r="E96" s="80"/>
      <c r="F96" s="81" t="s">
        <v>1201</v>
      </c>
      <c r="G96" s="23"/>
      <c r="H96" s="25"/>
      <c r="I96" s="49"/>
      <c r="AI96" s="30">
        <v>0</v>
      </c>
      <c r="AJ96" s="30">
        <f>0+10</f>
        <v>10</v>
      </c>
    </row>
    <row r="97" spans="1:36" ht="80.099999999999994" customHeight="1">
      <c r="A97" s="122" t="s">
        <v>8</v>
      </c>
      <c r="B97" s="74" t="s">
        <v>1054</v>
      </c>
      <c r="C97" s="78" t="s">
        <v>229</v>
      </c>
      <c r="D97" s="58" t="s">
        <v>228</v>
      </c>
      <c r="E97" s="76">
        <v>6</v>
      </c>
      <c r="F97" s="77" t="s">
        <v>230</v>
      </c>
      <c r="G97" s="25"/>
      <c r="H97" s="25"/>
      <c r="J97" s="30">
        <v>6</v>
      </c>
      <c r="K97" s="30">
        <v>6</v>
      </c>
      <c r="L97" s="30">
        <v>6</v>
      </c>
      <c r="M97" s="30">
        <v>6</v>
      </c>
      <c r="N97" s="30">
        <v>6</v>
      </c>
      <c r="O97" s="30">
        <v>6</v>
      </c>
      <c r="P97" s="30">
        <v>6</v>
      </c>
      <c r="Q97" s="30">
        <v>6</v>
      </c>
      <c r="R97" s="30">
        <v>6</v>
      </c>
      <c r="S97" s="30">
        <v>6</v>
      </c>
      <c r="T97" s="30">
        <v>6</v>
      </c>
      <c r="U97" s="30">
        <v>6</v>
      </c>
      <c r="V97" s="30">
        <v>6</v>
      </c>
      <c r="W97" s="30">
        <v>6</v>
      </c>
      <c r="X97" s="30">
        <v>6</v>
      </c>
      <c r="Y97" s="30">
        <v>6</v>
      </c>
      <c r="Z97" s="30">
        <v>6</v>
      </c>
      <c r="AA97" s="30">
        <v>6</v>
      </c>
      <c r="AB97" s="30">
        <v>6</v>
      </c>
      <c r="AC97" s="30">
        <v>6</v>
      </c>
      <c r="AD97" s="30">
        <v>6</v>
      </c>
      <c r="AE97" s="30">
        <v>6</v>
      </c>
      <c r="AF97" s="30">
        <v>6</v>
      </c>
      <c r="AG97" s="30">
        <v>6</v>
      </c>
      <c r="AH97" s="30">
        <v>6</v>
      </c>
      <c r="AI97" s="30">
        <v>6</v>
      </c>
      <c r="AJ97" s="30">
        <v>6</v>
      </c>
    </row>
    <row r="98" spans="1:36" ht="80.099999999999994" customHeight="1">
      <c r="A98" s="127" t="s">
        <v>8</v>
      </c>
      <c r="B98" s="86" t="s">
        <v>1065</v>
      </c>
      <c r="C98" s="78" t="s">
        <v>232</v>
      </c>
      <c r="D98" s="56" t="s">
        <v>231</v>
      </c>
      <c r="E98" s="76">
        <v>9</v>
      </c>
      <c r="F98" s="77" t="s">
        <v>233</v>
      </c>
      <c r="G98" s="25"/>
      <c r="H98" s="25"/>
      <c r="J98" s="30">
        <v>4</v>
      </c>
      <c r="K98" s="30">
        <f>3+1</f>
        <v>4</v>
      </c>
      <c r="L98" s="30">
        <v>3</v>
      </c>
      <c r="M98" s="30">
        <f>2+1</f>
        <v>3</v>
      </c>
      <c r="N98" s="30">
        <f>1</f>
        <v>1</v>
      </c>
      <c r="O98" s="30">
        <v>0</v>
      </c>
      <c r="P98" s="30">
        <v>0</v>
      </c>
      <c r="Q98" s="30">
        <f>0+5</f>
        <v>5</v>
      </c>
      <c r="R98" s="30">
        <v>5</v>
      </c>
      <c r="S98" s="30">
        <v>5</v>
      </c>
      <c r="T98" s="30">
        <v>5</v>
      </c>
      <c r="U98" s="30">
        <v>5</v>
      </c>
      <c r="V98" s="30">
        <v>4</v>
      </c>
      <c r="W98" s="30">
        <v>2</v>
      </c>
      <c r="X98" s="30">
        <v>2</v>
      </c>
      <c r="Y98" s="30">
        <f>1+1</f>
        <v>2</v>
      </c>
      <c r="Z98" s="30">
        <f>0+5</f>
        <v>5</v>
      </c>
      <c r="AA98" s="30">
        <v>6</v>
      </c>
      <c r="AB98" s="30">
        <v>6</v>
      </c>
      <c r="AC98" s="30">
        <v>6</v>
      </c>
      <c r="AD98" s="30">
        <v>6</v>
      </c>
      <c r="AE98" s="30">
        <f>4+1</f>
        <v>5</v>
      </c>
      <c r="AF98" s="30">
        <v>3</v>
      </c>
      <c r="AG98" s="30">
        <f>3+5</f>
        <v>8</v>
      </c>
      <c r="AH98" s="30">
        <f>1+5</f>
        <v>6</v>
      </c>
      <c r="AI98" s="30">
        <f>1+5</f>
        <v>6</v>
      </c>
      <c r="AJ98" s="30">
        <f>2+5+4</f>
        <v>11</v>
      </c>
    </row>
    <row r="99" spans="1:36" ht="80.099999999999994" customHeight="1">
      <c r="A99" s="128" t="s">
        <v>32</v>
      </c>
      <c r="B99" s="91"/>
      <c r="C99" s="75" t="s">
        <v>997</v>
      </c>
      <c r="D99" s="96" t="s">
        <v>234</v>
      </c>
      <c r="E99" s="92"/>
      <c r="F99" s="77" t="s">
        <v>236</v>
      </c>
      <c r="G99" s="36" t="s">
        <v>237</v>
      </c>
      <c r="H99" s="36"/>
      <c r="J99" s="30">
        <f>13+3+10</f>
        <v>26</v>
      </c>
      <c r="K99" s="30">
        <f>18+3+4</f>
        <v>25</v>
      </c>
      <c r="L99" s="30">
        <f>18+3</f>
        <v>21</v>
      </c>
      <c r="M99" s="30">
        <f>19+4</f>
        <v>23</v>
      </c>
      <c r="N99" s="30">
        <f>14+8</f>
        <v>22</v>
      </c>
      <c r="O99" s="30">
        <f>12+8</f>
        <v>20</v>
      </c>
      <c r="P99" s="30">
        <f>12+8</f>
        <v>20</v>
      </c>
      <c r="Q99" s="30">
        <f>12+4</f>
        <v>16</v>
      </c>
      <c r="R99" s="30">
        <f>6+5</f>
        <v>11</v>
      </c>
      <c r="S99" s="30">
        <f>2+10+4</f>
        <v>16</v>
      </c>
      <c r="T99" s="30">
        <f>0+4</f>
        <v>4</v>
      </c>
      <c r="U99" s="30">
        <f>0+11</f>
        <v>11</v>
      </c>
      <c r="V99" s="30">
        <f>2+10+6</f>
        <v>18</v>
      </c>
      <c r="W99" s="30">
        <f>16+1</f>
        <v>17</v>
      </c>
      <c r="X99" s="30">
        <v>12</v>
      </c>
      <c r="Y99" s="30">
        <f>12+1</f>
        <v>13</v>
      </c>
      <c r="Z99" s="30">
        <f>10+10</f>
        <v>20</v>
      </c>
      <c r="AA99" s="30">
        <v>14</v>
      </c>
      <c r="AB99" s="30">
        <f>10+2</f>
        <v>12</v>
      </c>
      <c r="AC99" s="30">
        <f>9+0</f>
        <v>9</v>
      </c>
      <c r="AD99" s="30">
        <f>7+1+20</f>
        <v>28</v>
      </c>
      <c r="AE99" s="30">
        <f>11+13</f>
        <v>24</v>
      </c>
      <c r="AF99" s="30">
        <f>16+1</f>
        <v>17</v>
      </c>
      <c r="AG99" s="30">
        <f>14+20+1</f>
        <v>35</v>
      </c>
      <c r="AH99" s="30">
        <f>11+20</f>
        <v>31</v>
      </c>
      <c r="AI99" s="30">
        <f>10+21</f>
        <v>31</v>
      </c>
      <c r="AJ99" s="30">
        <f>12+20+20</f>
        <v>52</v>
      </c>
    </row>
    <row r="100" spans="1:36" ht="80.099999999999994" customHeight="1">
      <c r="A100" s="122" t="s">
        <v>8</v>
      </c>
      <c r="B100" s="74" t="s">
        <v>1060</v>
      </c>
      <c r="C100" s="78" t="s">
        <v>998</v>
      </c>
      <c r="D100" s="58" t="s">
        <v>238</v>
      </c>
      <c r="E100" s="76">
        <v>6</v>
      </c>
      <c r="F100" s="77" t="s">
        <v>239</v>
      </c>
      <c r="G100" s="25"/>
      <c r="H100" s="25"/>
      <c r="J100" s="30">
        <v>6</v>
      </c>
      <c r="K100" s="30">
        <v>6</v>
      </c>
      <c r="L100" s="30">
        <v>6</v>
      </c>
      <c r="M100" s="30">
        <v>6</v>
      </c>
      <c r="N100" s="30">
        <v>6</v>
      </c>
      <c r="O100" s="30">
        <v>6</v>
      </c>
      <c r="P100" s="30">
        <v>6</v>
      </c>
      <c r="Q100" s="30">
        <v>6</v>
      </c>
      <c r="R100" s="30">
        <v>4</v>
      </c>
      <c r="S100" s="30">
        <v>4</v>
      </c>
      <c r="T100" s="30">
        <v>3</v>
      </c>
      <c r="U100" s="30">
        <v>3</v>
      </c>
      <c r="V100" s="30">
        <f>3+10</f>
        <v>13</v>
      </c>
      <c r="W100" s="30">
        <f>9+2</f>
        <v>11</v>
      </c>
      <c r="X100" s="30">
        <f>8+2</f>
        <v>10</v>
      </c>
      <c r="Y100" s="30">
        <v>8</v>
      </c>
      <c r="Z100" s="30">
        <v>8</v>
      </c>
      <c r="AA100" s="30">
        <v>7</v>
      </c>
      <c r="AB100" s="30">
        <v>6</v>
      </c>
      <c r="AC100" s="30">
        <v>6</v>
      </c>
      <c r="AD100" s="30">
        <f>5+5</f>
        <v>10</v>
      </c>
      <c r="AE100" s="30">
        <f>7+2</f>
        <v>9</v>
      </c>
      <c r="AF100" s="30">
        <f>6+1</f>
        <v>7</v>
      </c>
      <c r="AG100" s="30">
        <f>6+5+1</f>
        <v>12</v>
      </c>
      <c r="AH100" s="30">
        <f>5+5</f>
        <v>10</v>
      </c>
      <c r="AI100" s="30">
        <f>5+5</f>
        <v>10</v>
      </c>
      <c r="AJ100" s="30">
        <f>5+5</f>
        <v>10</v>
      </c>
    </row>
    <row r="101" spans="1:36" ht="80.099999999999994" customHeight="1">
      <c r="A101" s="122" t="s">
        <v>1406</v>
      </c>
      <c r="B101" s="74"/>
      <c r="C101" s="78" t="s">
        <v>241</v>
      </c>
      <c r="D101" s="58" t="s">
        <v>240</v>
      </c>
      <c r="E101" s="76"/>
      <c r="F101" s="77" t="s">
        <v>242</v>
      </c>
      <c r="G101" s="25"/>
      <c r="H101" s="25"/>
      <c r="J101" s="30">
        <f>2+2</f>
        <v>4</v>
      </c>
      <c r="K101" s="30">
        <v>2</v>
      </c>
      <c r="L101" s="30">
        <v>2</v>
      </c>
      <c r="M101" s="30">
        <v>2</v>
      </c>
      <c r="N101" s="30">
        <v>2</v>
      </c>
      <c r="O101" s="30">
        <v>2</v>
      </c>
      <c r="P101" s="30">
        <v>2</v>
      </c>
      <c r="Q101" s="30">
        <v>2</v>
      </c>
      <c r="R101" s="30">
        <f>1+1</f>
        <v>2</v>
      </c>
      <c r="S101" s="30">
        <v>1</v>
      </c>
      <c r="T101" s="30">
        <v>1</v>
      </c>
      <c r="U101" s="30">
        <v>1</v>
      </c>
      <c r="V101" s="30">
        <f>1+3</f>
        <v>4</v>
      </c>
      <c r="W101" s="30">
        <v>4</v>
      </c>
      <c r="X101" s="30">
        <v>4</v>
      </c>
      <c r="Y101" s="30">
        <v>4</v>
      </c>
      <c r="Z101" s="30">
        <v>4</v>
      </c>
      <c r="AA101" s="30">
        <v>4</v>
      </c>
      <c r="AB101" s="30">
        <v>4</v>
      </c>
      <c r="AC101" s="30">
        <v>4</v>
      </c>
      <c r="AD101" s="30">
        <v>4</v>
      </c>
      <c r="AE101" s="30">
        <v>4</v>
      </c>
      <c r="AF101" s="30">
        <v>1</v>
      </c>
      <c r="AG101" s="30">
        <v>1</v>
      </c>
      <c r="AH101" s="30">
        <v>1</v>
      </c>
      <c r="AI101" s="30">
        <v>1</v>
      </c>
      <c r="AJ101" s="30">
        <f>1+3</f>
        <v>4</v>
      </c>
    </row>
    <row r="102" spans="1:36" s="30" customFormat="1" ht="80.099999999999994" customHeight="1">
      <c r="A102" s="127" t="s">
        <v>32</v>
      </c>
      <c r="B102" s="86"/>
      <c r="C102" s="78" t="s">
        <v>244</v>
      </c>
      <c r="D102" s="60" t="s">
        <v>243</v>
      </c>
      <c r="E102" s="94"/>
      <c r="F102" s="82" t="s">
        <v>245</v>
      </c>
      <c r="G102" s="25"/>
      <c r="H102" s="25"/>
      <c r="J102" s="30">
        <v>2</v>
      </c>
      <c r="K102" s="30">
        <v>2</v>
      </c>
      <c r="L102" s="30">
        <v>2</v>
      </c>
      <c r="M102" s="30">
        <v>2</v>
      </c>
      <c r="N102" s="30">
        <v>2</v>
      </c>
      <c r="O102" s="30">
        <v>1</v>
      </c>
      <c r="P102" s="30">
        <v>1</v>
      </c>
      <c r="Q102" s="30">
        <v>1</v>
      </c>
      <c r="R102" s="30">
        <v>1</v>
      </c>
      <c r="S102" s="30">
        <v>1</v>
      </c>
      <c r="T102" s="30">
        <v>1</v>
      </c>
      <c r="U102" s="30">
        <v>1</v>
      </c>
      <c r="V102" s="30">
        <v>1</v>
      </c>
      <c r="W102" s="30">
        <v>1</v>
      </c>
      <c r="X102" s="30">
        <v>1</v>
      </c>
      <c r="Y102" s="30">
        <v>1</v>
      </c>
      <c r="Z102" s="30">
        <v>1</v>
      </c>
      <c r="AA102" s="30">
        <v>1</v>
      </c>
      <c r="AB102" s="30">
        <v>1</v>
      </c>
      <c r="AC102" s="30">
        <v>1</v>
      </c>
      <c r="AD102" s="30">
        <v>1</v>
      </c>
      <c r="AE102" s="30">
        <f>0+0</f>
        <v>0</v>
      </c>
      <c r="AF102" s="30">
        <f>0+3</f>
        <v>3</v>
      </c>
      <c r="AG102" s="30">
        <v>3</v>
      </c>
      <c r="AH102" s="30">
        <v>3</v>
      </c>
      <c r="AI102" s="30">
        <v>3</v>
      </c>
      <c r="AJ102" s="30">
        <v>3</v>
      </c>
    </row>
    <row r="103" spans="1:36" ht="80.099999999999994" customHeight="1">
      <c r="A103" s="122" t="s">
        <v>32</v>
      </c>
      <c r="B103" s="74"/>
      <c r="C103" s="75" t="s">
        <v>247</v>
      </c>
      <c r="D103" s="96" t="s">
        <v>105</v>
      </c>
      <c r="E103" s="76"/>
      <c r="F103" s="77" t="s">
        <v>248</v>
      </c>
      <c r="G103" s="27" t="s">
        <v>237</v>
      </c>
      <c r="H103" s="27"/>
      <c r="J103" s="30">
        <f>30+14</f>
        <v>44</v>
      </c>
      <c r="K103" s="30">
        <f>32+12</f>
        <v>44</v>
      </c>
      <c r="L103" s="30">
        <f>31+10</f>
        <v>41</v>
      </c>
      <c r="M103" s="30">
        <f>34+7</f>
        <v>41</v>
      </c>
      <c r="N103" s="30">
        <f>31+7</f>
        <v>38</v>
      </c>
      <c r="O103" s="30">
        <f>34+1</f>
        <v>35</v>
      </c>
      <c r="P103" s="30">
        <f>35+1</f>
        <v>36</v>
      </c>
      <c r="Q103" s="30">
        <f>35+0</f>
        <v>35</v>
      </c>
      <c r="R103" s="30">
        <f>33+2</f>
        <v>35</v>
      </c>
      <c r="S103" s="30">
        <f>29+3</f>
        <v>32</v>
      </c>
      <c r="T103" s="30">
        <f>26+1</f>
        <v>27</v>
      </c>
      <c r="U103" s="30">
        <f>25+1</f>
        <v>26</v>
      </c>
      <c r="V103" s="30">
        <f>24+30</f>
        <v>54</v>
      </c>
      <c r="W103" s="30">
        <v>53</v>
      </c>
      <c r="X103" s="30">
        <f>48</f>
        <v>48</v>
      </c>
      <c r="Y103" s="30">
        <f>47+1</f>
        <v>48</v>
      </c>
      <c r="Z103" s="30">
        <v>46</v>
      </c>
      <c r="AA103" s="30">
        <f>44+1</f>
        <v>45</v>
      </c>
      <c r="AB103" s="30">
        <f>41+1</f>
        <v>42</v>
      </c>
      <c r="AC103" s="30">
        <f>38+1</f>
        <v>39</v>
      </c>
      <c r="AD103" s="30">
        <v>32</v>
      </c>
      <c r="AE103" s="30">
        <f>5+21</f>
        <v>26</v>
      </c>
      <c r="AF103" s="30">
        <f>18+20+1</f>
        <v>39</v>
      </c>
      <c r="AG103" s="30">
        <f>38+1</f>
        <v>39</v>
      </c>
      <c r="AH103" s="30">
        <v>35</v>
      </c>
      <c r="AI103" s="30">
        <v>35</v>
      </c>
      <c r="AJ103" s="30">
        <f>29+20+4</f>
        <v>53</v>
      </c>
    </row>
    <row r="104" spans="1:36" ht="80.099999999999994" customHeight="1">
      <c r="A104" s="122" t="s">
        <v>8</v>
      </c>
      <c r="B104" s="74" t="s">
        <v>1061</v>
      </c>
      <c r="C104" s="78" t="s">
        <v>250</v>
      </c>
      <c r="D104" s="58" t="s">
        <v>249</v>
      </c>
      <c r="E104" s="76">
        <v>9</v>
      </c>
      <c r="F104" s="77" t="s">
        <v>251</v>
      </c>
      <c r="G104" s="25"/>
      <c r="H104" s="25"/>
      <c r="J104" s="30">
        <v>5</v>
      </c>
      <c r="K104" s="30">
        <v>5</v>
      </c>
      <c r="L104" s="30">
        <v>5</v>
      </c>
      <c r="M104" s="30">
        <v>5</v>
      </c>
      <c r="N104" s="30">
        <v>5</v>
      </c>
      <c r="O104" s="30">
        <v>5</v>
      </c>
      <c r="P104" s="30">
        <v>5</v>
      </c>
      <c r="Q104" s="30">
        <v>5</v>
      </c>
      <c r="R104" s="30">
        <v>5</v>
      </c>
      <c r="S104" s="30">
        <v>5</v>
      </c>
      <c r="T104" s="30">
        <v>5</v>
      </c>
      <c r="U104" s="30">
        <v>5</v>
      </c>
      <c r="V104" s="30">
        <v>5</v>
      </c>
      <c r="W104" s="30">
        <v>5</v>
      </c>
      <c r="X104" s="30">
        <v>5</v>
      </c>
      <c r="Y104" s="30">
        <v>5</v>
      </c>
      <c r="Z104" s="30">
        <v>5</v>
      </c>
      <c r="AA104" s="30">
        <v>5</v>
      </c>
      <c r="AB104" s="30">
        <v>5</v>
      </c>
      <c r="AC104" s="30">
        <v>5</v>
      </c>
      <c r="AD104" s="30">
        <v>5</v>
      </c>
      <c r="AE104" s="30">
        <v>5</v>
      </c>
      <c r="AF104" s="30">
        <v>5</v>
      </c>
      <c r="AG104" s="30">
        <v>5</v>
      </c>
      <c r="AH104" s="30">
        <v>5</v>
      </c>
      <c r="AI104" s="30">
        <v>5</v>
      </c>
      <c r="AJ104" s="30">
        <v>5</v>
      </c>
    </row>
    <row r="105" spans="1:36" ht="80.099999999999994" customHeight="1">
      <c r="A105" s="128" t="s">
        <v>8</v>
      </c>
      <c r="B105" s="91" t="s">
        <v>1054</v>
      </c>
      <c r="C105" s="78" t="s">
        <v>253</v>
      </c>
      <c r="D105" s="58" t="s">
        <v>252</v>
      </c>
      <c r="E105" s="92">
        <v>7</v>
      </c>
      <c r="F105" s="77" t="s">
        <v>254</v>
      </c>
      <c r="G105" s="29"/>
      <c r="H105" s="29"/>
      <c r="J105" s="30">
        <f>112+1</f>
        <v>113</v>
      </c>
      <c r="K105" s="30">
        <f>108+3</f>
        <v>111</v>
      </c>
      <c r="L105" s="30">
        <f>109</f>
        <v>109</v>
      </c>
      <c r="M105" s="30">
        <f>104+2</f>
        <v>106</v>
      </c>
      <c r="N105" s="30">
        <f>101+2</f>
        <v>103</v>
      </c>
      <c r="O105" s="30">
        <f>97+2</f>
        <v>99</v>
      </c>
      <c r="P105" s="30">
        <f>96+2</f>
        <v>98</v>
      </c>
      <c r="Q105" s="30">
        <f>92+2</f>
        <v>94</v>
      </c>
      <c r="R105" s="30">
        <f>84+4</f>
        <v>88</v>
      </c>
      <c r="S105" s="30">
        <f>83</f>
        <v>83</v>
      </c>
      <c r="T105" s="30">
        <f>74+4</f>
        <v>78</v>
      </c>
      <c r="U105" s="30">
        <f>70+2</f>
        <v>72</v>
      </c>
      <c r="V105" s="30">
        <v>67</v>
      </c>
      <c r="W105" s="30">
        <f>53+2</f>
        <v>55</v>
      </c>
      <c r="X105" s="30">
        <v>47</v>
      </c>
      <c r="Y105" s="30">
        <f>42+2</f>
        <v>44</v>
      </c>
      <c r="Z105" s="30">
        <f>42+20+2</f>
        <v>64</v>
      </c>
      <c r="AA105" s="30">
        <f>36+22</f>
        <v>58</v>
      </c>
      <c r="AB105" s="30">
        <f>44+12</f>
        <v>56</v>
      </c>
      <c r="AC105" s="30">
        <v>49</v>
      </c>
      <c r="AD105" s="30">
        <f>43+1</f>
        <v>44</v>
      </c>
      <c r="AE105" s="30">
        <f>42+10+1</f>
        <v>53</v>
      </c>
      <c r="AF105" s="30">
        <f>37+7+1</f>
        <v>45</v>
      </c>
      <c r="AG105" s="30">
        <f>30+8</f>
        <v>38</v>
      </c>
      <c r="AH105" s="30">
        <f>26+3</f>
        <v>29</v>
      </c>
      <c r="AI105" s="30">
        <f>26+2</f>
        <v>28</v>
      </c>
      <c r="AJ105" s="30">
        <f>22+10+3</f>
        <v>35</v>
      </c>
    </row>
    <row r="106" spans="1:36" ht="80.099999999999994" customHeight="1">
      <c r="A106" s="127" t="s">
        <v>8</v>
      </c>
      <c r="B106" s="86" t="s">
        <v>1066</v>
      </c>
      <c r="C106" s="78" t="s">
        <v>999</v>
      </c>
      <c r="D106" s="56" t="s">
        <v>255</v>
      </c>
      <c r="E106" s="76">
        <v>6</v>
      </c>
      <c r="F106" s="77" t="s">
        <v>256</v>
      </c>
      <c r="G106" s="25"/>
      <c r="H106" s="25"/>
      <c r="J106" s="30">
        <v>6</v>
      </c>
      <c r="K106" s="30">
        <v>6</v>
      </c>
      <c r="L106" s="30">
        <v>6</v>
      </c>
      <c r="M106" s="30">
        <v>6</v>
      </c>
      <c r="N106" s="30">
        <v>6</v>
      </c>
      <c r="O106" s="30">
        <v>6</v>
      </c>
      <c r="P106" s="30">
        <v>6</v>
      </c>
      <c r="Q106" s="30">
        <v>5</v>
      </c>
      <c r="R106" s="30">
        <v>5</v>
      </c>
      <c r="S106" s="30">
        <v>4</v>
      </c>
      <c r="T106" s="30">
        <v>4</v>
      </c>
      <c r="U106" s="30">
        <v>3</v>
      </c>
      <c r="V106" s="30">
        <f>3+5</f>
        <v>8</v>
      </c>
      <c r="W106" s="30">
        <f>4+2</f>
        <v>6</v>
      </c>
      <c r="X106" s="30">
        <v>6</v>
      </c>
      <c r="Y106" s="30">
        <v>5</v>
      </c>
      <c r="Z106" s="30">
        <v>5</v>
      </c>
      <c r="AA106" s="30">
        <v>3</v>
      </c>
      <c r="AB106" s="30">
        <v>4</v>
      </c>
      <c r="AC106" s="30">
        <v>4</v>
      </c>
      <c r="AD106" s="30">
        <f>1+5</f>
        <v>6</v>
      </c>
      <c r="AE106" s="30">
        <f>2+4</f>
        <v>6</v>
      </c>
      <c r="AF106" s="30">
        <v>6</v>
      </c>
      <c r="AG106" s="30">
        <v>4</v>
      </c>
      <c r="AH106" s="30">
        <v>4</v>
      </c>
      <c r="AI106" s="30">
        <v>4</v>
      </c>
      <c r="AJ106" s="30">
        <v>4</v>
      </c>
    </row>
    <row r="107" spans="1:36" ht="80.099999999999994" customHeight="1">
      <c r="A107" s="122" t="s">
        <v>8</v>
      </c>
      <c r="B107" s="74" t="s">
        <v>1062</v>
      </c>
      <c r="C107" s="78" t="s">
        <v>258</v>
      </c>
      <c r="D107" s="58" t="s">
        <v>257</v>
      </c>
      <c r="E107" s="76">
        <v>9</v>
      </c>
      <c r="F107" s="77" t="s">
        <v>259</v>
      </c>
      <c r="G107" s="25"/>
      <c r="H107" s="25"/>
      <c r="J107" s="30">
        <v>6</v>
      </c>
      <c r="K107" s="30">
        <v>6</v>
      </c>
      <c r="L107" s="30">
        <v>6</v>
      </c>
      <c r="M107" s="30">
        <v>6</v>
      </c>
      <c r="N107" s="30">
        <v>6</v>
      </c>
      <c r="O107" s="30">
        <v>6</v>
      </c>
      <c r="P107" s="30">
        <v>6</v>
      </c>
      <c r="Q107" s="30">
        <v>6</v>
      </c>
      <c r="R107" s="30">
        <v>6</v>
      </c>
      <c r="S107" s="30">
        <v>6</v>
      </c>
      <c r="T107" s="30">
        <v>6</v>
      </c>
      <c r="U107" s="30">
        <v>6</v>
      </c>
      <c r="V107" s="30">
        <v>6</v>
      </c>
      <c r="W107" s="30">
        <v>6</v>
      </c>
      <c r="X107" s="30">
        <v>6</v>
      </c>
      <c r="Y107" s="30">
        <v>6</v>
      </c>
      <c r="Z107" s="30">
        <v>6</v>
      </c>
      <c r="AA107" s="30">
        <v>6</v>
      </c>
      <c r="AB107" s="30">
        <v>6</v>
      </c>
      <c r="AC107" s="30">
        <v>6</v>
      </c>
      <c r="AD107" s="30">
        <v>6</v>
      </c>
      <c r="AE107" s="30">
        <v>6</v>
      </c>
      <c r="AF107" s="30">
        <v>6</v>
      </c>
      <c r="AG107" s="30">
        <v>6</v>
      </c>
      <c r="AH107" s="30">
        <v>6</v>
      </c>
      <c r="AI107" s="30">
        <v>6</v>
      </c>
      <c r="AJ107" s="30">
        <v>6</v>
      </c>
    </row>
    <row r="108" spans="1:36" ht="80.099999999999994" customHeight="1">
      <c r="A108" s="131" t="s">
        <v>8</v>
      </c>
      <c r="B108" s="101" t="s">
        <v>1054</v>
      </c>
      <c r="C108" s="78" t="s">
        <v>261</v>
      </c>
      <c r="D108" s="58" t="s">
        <v>260</v>
      </c>
      <c r="E108" s="104">
        <v>8</v>
      </c>
      <c r="F108" s="77" t="s">
        <v>262</v>
      </c>
      <c r="G108" s="29"/>
      <c r="H108" s="29"/>
      <c r="J108" s="30">
        <v>95</v>
      </c>
      <c r="K108" s="30">
        <v>94</v>
      </c>
      <c r="L108" s="30">
        <f>90+1</f>
        <v>91</v>
      </c>
      <c r="M108" s="30">
        <f>88+2</f>
        <v>90</v>
      </c>
      <c r="N108" s="30">
        <f>86+1</f>
        <v>87</v>
      </c>
      <c r="O108" s="30">
        <f>82+1</f>
        <v>83</v>
      </c>
      <c r="P108" s="30">
        <v>82</v>
      </c>
      <c r="Q108" s="30">
        <f>77+1</f>
        <v>78</v>
      </c>
      <c r="R108" s="30">
        <f>71+1</f>
        <v>72</v>
      </c>
      <c r="S108" s="30">
        <f>70+1</f>
        <v>71</v>
      </c>
      <c r="T108" s="30">
        <f>64+3</f>
        <v>67</v>
      </c>
      <c r="U108" s="30">
        <f>61+1</f>
        <v>62</v>
      </c>
      <c r="V108" s="30">
        <v>59</v>
      </c>
      <c r="W108" s="30">
        <f>44+2</f>
        <v>46</v>
      </c>
      <c r="X108" s="30">
        <f>42+1</f>
        <v>43</v>
      </c>
      <c r="Y108" s="30">
        <f>38+1</f>
        <v>39</v>
      </c>
      <c r="Z108" s="30">
        <f>34+20+3</f>
        <v>57</v>
      </c>
      <c r="AA108" s="30">
        <f>32+20</f>
        <v>52</v>
      </c>
      <c r="AB108" s="30">
        <f>33+17</f>
        <v>50</v>
      </c>
      <c r="AC108" s="30">
        <f>45+2</f>
        <v>47</v>
      </c>
      <c r="AD108" s="30">
        <f>39+2</f>
        <v>41</v>
      </c>
      <c r="AE108" s="30">
        <f>34+10+1</f>
        <v>45</v>
      </c>
      <c r="AF108" s="30">
        <f>25+10+0</f>
        <v>35</v>
      </c>
      <c r="AG108" s="30">
        <f>27+10+8</f>
        <v>45</v>
      </c>
      <c r="AH108" s="30">
        <f>32+10+1</f>
        <v>43</v>
      </c>
      <c r="AI108" s="30">
        <f>31+11</f>
        <v>42</v>
      </c>
      <c r="AJ108" s="30">
        <f>31+10+11</f>
        <v>52</v>
      </c>
    </row>
    <row r="109" spans="1:36" s="30" customFormat="1" ht="80.099999999999994" customHeight="1">
      <c r="A109" s="122" t="s">
        <v>1436</v>
      </c>
      <c r="B109" s="74" t="s">
        <v>1054</v>
      </c>
      <c r="C109" s="78" t="s">
        <v>1000</v>
      </c>
      <c r="D109" s="58" t="s">
        <v>263</v>
      </c>
      <c r="E109" s="76"/>
      <c r="F109" s="77" t="s">
        <v>264</v>
      </c>
      <c r="G109" s="25"/>
      <c r="H109" s="25"/>
      <c r="I109" s="23"/>
      <c r="J109" s="30">
        <f>0+8</f>
        <v>8</v>
      </c>
      <c r="K109" s="30">
        <f>0+8</f>
        <v>8</v>
      </c>
      <c r="L109" s="30">
        <f>0+8</f>
        <v>8</v>
      </c>
      <c r="M109" s="30">
        <f>0+8</f>
        <v>8</v>
      </c>
      <c r="N109" s="30">
        <f>0+8+1</f>
        <v>9</v>
      </c>
      <c r="O109" s="30">
        <f>0+8</f>
        <v>8</v>
      </c>
      <c r="P109" s="30">
        <f>5+2</f>
        <v>7</v>
      </c>
      <c r="Q109" s="30">
        <f>3+1</f>
        <v>4</v>
      </c>
      <c r="R109" s="30">
        <v>1</v>
      </c>
      <c r="S109" s="30">
        <f>1+10</f>
        <v>11</v>
      </c>
      <c r="T109" s="30">
        <v>1</v>
      </c>
      <c r="U109" s="30">
        <f>0+8</f>
        <v>8</v>
      </c>
      <c r="V109" s="30">
        <f>3+5</f>
        <v>8</v>
      </c>
      <c r="W109" s="30">
        <v>0</v>
      </c>
      <c r="X109" s="30">
        <f>0+10</f>
        <v>10</v>
      </c>
      <c r="Y109" s="30">
        <f>0+10</f>
        <v>10</v>
      </c>
      <c r="Z109" s="30">
        <f>0+10</f>
        <v>10</v>
      </c>
      <c r="AA109" s="30">
        <f>2+5</f>
        <v>7</v>
      </c>
      <c r="AB109" s="30">
        <v>6</v>
      </c>
      <c r="AC109" s="30">
        <f>2+1</f>
        <v>3</v>
      </c>
      <c r="AD109" s="30">
        <f>0+1+5</f>
        <v>6</v>
      </c>
      <c r="AE109" s="30">
        <f>0+0</f>
        <v>0</v>
      </c>
      <c r="AF109" s="30">
        <f>0+10+2</f>
        <v>12</v>
      </c>
      <c r="AG109" s="30">
        <f>4+3</f>
        <v>7</v>
      </c>
      <c r="AH109" s="30">
        <f>4+10</f>
        <v>14</v>
      </c>
      <c r="AI109" s="30">
        <f>5+8</f>
        <v>13</v>
      </c>
      <c r="AJ109" s="30">
        <f>4+7</f>
        <v>11</v>
      </c>
    </row>
    <row r="110" spans="1:36" ht="80.099999999999994" customHeight="1">
      <c r="A110" s="133" t="s">
        <v>1436</v>
      </c>
      <c r="B110" s="105"/>
      <c r="C110" s="78" t="s">
        <v>266</v>
      </c>
      <c r="D110" s="60" t="s">
        <v>265</v>
      </c>
      <c r="E110" s="76"/>
      <c r="F110" s="82" t="s">
        <v>267</v>
      </c>
      <c r="G110" s="25"/>
      <c r="H110" s="25"/>
      <c r="I110" s="30"/>
      <c r="J110" s="30">
        <v>1</v>
      </c>
      <c r="K110" s="30">
        <v>1</v>
      </c>
      <c r="L110" s="30">
        <v>1</v>
      </c>
      <c r="M110" s="30">
        <v>1</v>
      </c>
      <c r="N110" s="30">
        <v>1</v>
      </c>
      <c r="O110" s="30">
        <v>1</v>
      </c>
      <c r="P110" s="30">
        <v>1</v>
      </c>
      <c r="Q110" s="30">
        <v>1</v>
      </c>
      <c r="R110" s="30">
        <v>1</v>
      </c>
      <c r="S110" s="30">
        <f>1+10</f>
        <v>11</v>
      </c>
      <c r="T110" s="30">
        <f>1+10</f>
        <v>11</v>
      </c>
      <c r="U110" s="30">
        <f>9+2</f>
        <v>11</v>
      </c>
      <c r="V110" s="30">
        <v>11</v>
      </c>
      <c r="W110" s="30">
        <v>11</v>
      </c>
      <c r="X110" s="30">
        <v>11</v>
      </c>
      <c r="Y110" s="30">
        <v>11</v>
      </c>
      <c r="Z110" s="30">
        <v>11</v>
      </c>
      <c r="AA110" s="30">
        <v>11</v>
      </c>
      <c r="AB110" s="30">
        <v>11</v>
      </c>
      <c r="AC110" s="30">
        <v>11</v>
      </c>
      <c r="AD110" s="30">
        <v>11</v>
      </c>
      <c r="AE110" s="30">
        <v>11</v>
      </c>
      <c r="AF110" s="30">
        <v>11</v>
      </c>
      <c r="AG110" s="30">
        <v>11</v>
      </c>
      <c r="AH110" s="30">
        <v>11</v>
      </c>
      <c r="AI110" s="30">
        <v>11</v>
      </c>
      <c r="AJ110" s="30">
        <v>11</v>
      </c>
    </row>
    <row r="111" spans="1:36" ht="80.099999999999994" customHeight="1">
      <c r="A111" s="122" t="s">
        <v>3</v>
      </c>
      <c r="B111" s="74"/>
      <c r="C111" s="75" t="s">
        <v>269</v>
      </c>
      <c r="D111" s="60" t="s">
        <v>268</v>
      </c>
      <c r="E111" s="76"/>
      <c r="F111" s="77" t="s">
        <v>270</v>
      </c>
      <c r="G111" s="25"/>
      <c r="H111" s="25"/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0">
        <v>0</v>
      </c>
      <c r="AE111" s="30">
        <v>0</v>
      </c>
      <c r="AF111" s="30">
        <v>0</v>
      </c>
      <c r="AG111" s="30">
        <v>0</v>
      </c>
      <c r="AH111" s="30">
        <f>0+10</f>
        <v>10</v>
      </c>
      <c r="AI111" s="30">
        <v>10</v>
      </c>
      <c r="AJ111" s="30">
        <v>10</v>
      </c>
    </row>
    <row r="112" spans="1:36" ht="80.099999999999994" customHeight="1">
      <c r="A112" s="122" t="s">
        <v>1440</v>
      </c>
      <c r="B112" s="74"/>
      <c r="C112" s="75" t="s">
        <v>1177</v>
      </c>
      <c r="D112" s="106" t="s">
        <v>1176</v>
      </c>
      <c r="E112" s="80"/>
      <c r="F112" s="81" t="s">
        <v>1203</v>
      </c>
      <c r="G112" s="23"/>
      <c r="H112" s="25"/>
      <c r="I112" s="49"/>
      <c r="AI112" s="30">
        <v>0</v>
      </c>
      <c r="AJ112" s="30">
        <f>0+5</f>
        <v>5</v>
      </c>
    </row>
    <row r="113" spans="1:69" ht="80.099999999999994" customHeight="1">
      <c r="A113" s="122" t="s">
        <v>8</v>
      </c>
      <c r="B113" s="74" t="s">
        <v>1067</v>
      </c>
      <c r="C113" s="78" t="s">
        <v>272</v>
      </c>
      <c r="D113" s="58" t="s">
        <v>271</v>
      </c>
      <c r="E113" s="76">
        <v>8</v>
      </c>
      <c r="F113" s="77" t="s">
        <v>273</v>
      </c>
      <c r="G113" s="25"/>
      <c r="H113" s="25"/>
      <c r="J113" s="30">
        <v>2</v>
      </c>
      <c r="K113" s="30">
        <v>2</v>
      </c>
      <c r="L113" s="30">
        <v>2</v>
      </c>
      <c r="M113" s="30">
        <v>2</v>
      </c>
      <c r="N113" s="30">
        <v>2</v>
      </c>
      <c r="O113" s="30">
        <v>2</v>
      </c>
      <c r="P113" s="30">
        <v>2</v>
      </c>
      <c r="Q113" s="30">
        <v>2</v>
      </c>
      <c r="R113" s="30">
        <v>2</v>
      </c>
      <c r="S113" s="30">
        <v>2</v>
      </c>
      <c r="T113" s="30">
        <v>2</v>
      </c>
      <c r="U113" s="30">
        <v>2</v>
      </c>
      <c r="V113" s="30">
        <v>2</v>
      </c>
      <c r="W113" s="30">
        <v>2</v>
      </c>
      <c r="X113" s="30">
        <v>2</v>
      </c>
      <c r="Y113" s="30">
        <v>2</v>
      </c>
      <c r="Z113" s="30">
        <v>2</v>
      </c>
      <c r="AA113" s="30">
        <v>2</v>
      </c>
      <c r="AB113" s="30">
        <v>2</v>
      </c>
      <c r="AC113" s="30">
        <v>2</v>
      </c>
      <c r="AD113" s="30">
        <v>2</v>
      </c>
      <c r="AE113" s="30">
        <v>2</v>
      </c>
      <c r="AF113" s="30">
        <v>2</v>
      </c>
      <c r="AG113" s="30">
        <v>2</v>
      </c>
      <c r="AH113" s="30">
        <v>2</v>
      </c>
      <c r="AI113" s="30">
        <v>2</v>
      </c>
      <c r="AJ113" s="30">
        <v>2</v>
      </c>
    </row>
    <row r="114" spans="1:69" ht="80.099999999999994" customHeight="1">
      <c r="A114" s="122" t="s">
        <v>1436</v>
      </c>
      <c r="B114" s="74" t="s">
        <v>1062</v>
      </c>
      <c r="C114" s="78" t="s">
        <v>275</v>
      </c>
      <c r="D114" s="58" t="s">
        <v>274</v>
      </c>
      <c r="E114" s="76"/>
      <c r="F114" s="77" t="s">
        <v>276</v>
      </c>
      <c r="G114" s="25"/>
      <c r="H114" s="25"/>
      <c r="I114" s="23" t="s">
        <v>20</v>
      </c>
      <c r="J114" s="30">
        <v>5</v>
      </c>
      <c r="K114" s="30">
        <v>5</v>
      </c>
      <c r="L114" s="30">
        <v>5</v>
      </c>
      <c r="M114" s="30">
        <v>5</v>
      </c>
      <c r="N114" s="30">
        <v>5</v>
      </c>
      <c r="O114" s="30">
        <v>5</v>
      </c>
      <c r="P114" s="30">
        <v>5</v>
      </c>
      <c r="Q114" s="30">
        <v>5</v>
      </c>
      <c r="R114" s="30">
        <v>5</v>
      </c>
      <c r="S114" s="30">
        <v>5</v>
      </c>
      <c r="T114" s="30">
        <v>5</v>
      </c>
      <c r="U114" s="30">
        <v>5</v>
      </c>
      <c r="V114" s="30">
        <v>5</v>
      </c>
      <c r="W114" s="30">
        <v>3</v>
      </c>
      <c r="X114" s="30">
        <f>3+5</f>
        <v>8</v>
      </c>
      <c r="Y114" s="30">
        <v>8</v>
      </c>
      <c r="Z114" s="30">
        <v>8</v>
      </c>
      <c r="AA114" s="30">
        <f>7</f>
        <v>7</v>
      </c>
      <c r="AB114" s="30">
        <v>6</v>
      </c>
      <c r="AC114" s="30">
        <v>6</v>
      </c>
      <c r="AD114" s="30">
        <v>6</v>
      </c>
      <c r="AE114" s="30">
        <v>6</v>
      </c>
      <c r="AF114" s="30">
        <v>7</v>
      </c>
      <c r="AG114" s="30">
        <v>7</v>
      </c>
      <c r="AH114" s="30">
        <v>7</v>
      </c>
      <c r="AI114" s="30">
        <v>7</v>
      </c>
      <c r="AJ114" s="30">
        <f>6+0</f>
        <v>6</v>
      </c>
    </row>
    <row r="115" spans="1:69" ht="80.099999999999994" customHeight="1">
      <c r="A115" s="90" t="s">
        <v>17</v>
      </c>
      <c r="B115" s="88"/>
      <c r="C115" s="84" t="s">
        <v>278</v>
      </c>
      <c r="D115" s="60" t="s">
        <v>277</v>
      </c>
      <c r="E115" s="89"/>
      <c r="F115" s="82" t="s">
        <v>279</v>
      </c>
      <c r="G115" s="25"/>
      <c r="H115" s="25"/>
      <c r="I115" s="30"/>
      <c r="J115" s="30">
        <f>2+4</f>
        <v>6</v>
      </c>
      <c r="K115" s="30">
        <v>6</v>
      </c>
      <c r="L115" s="30">
        <v>4</v>
      </c>
      <c r="M115" s="30">
        <v>3</v>
      </c>
      <c r="N115" s="30">
        <f>2+10</f>
        <v>12</v>
      </c>
      <c r="O115" s="30">
        <f>0+10</f>
        <v>10</v>
      </c>
      <c r="P115" s="30">
        <f>0+10</f>
        <v>10</v>
      </c>
      <c r="Q115" s="30">
        <f>0+10</f>
        <v>10</v>
      </c>
      <c r="R115" s="30">
        <f>0+10</f>
        <v>10</v>
      </c>
      <c r="S115" s="30">
        <f>0+9</f>
        <v>9</v>
      </c>
      <c r="T115" s="30">
        <f>0+10</f>
        <v>10</v>
      </c>
      <c r="U115" s="30">
        <f>5+5</f>
        <v>10</v>
      </c>
      <c r="V115" s="30">
        <v>4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f>0+7</f>
        <v>7</v>
      </c>
      <c r="AG115" s="30">
        <f>6</f>
        <v>6</v>
      </c>
      <c r="AH115" s="30">
        <f>4+10</f>
        <v>14</v>
      </c>
      <c r="AI115" s="30">
        <f>4+10</f>
        <v>14</v>
      </c>
      <c r="AJ115" s="30">
        <f>6+8</f>
        <v>14</v>
      </c>
    </row>
    <row r="116" spans="1:69" ht="80.099999999999994" customHeight="1">
      <c r="A116" s="125" t="s">
        <v>280</v>
      </c>
      <c r="B116" s="79"/>
      <c r="C116" s="78" t="s">
        <v>921</v>
      </c>
      <c r="D116" s="60" t="s">
        <v>281</v>
      </c>
      <c r="E116" s="104"/>
      <c r="F116" s="77" t="s">
        <v>282</v>
      </c>
      <c r="G116" s="25"/>
      <c r="H116" s="25"/>
      <c r="J116" s="30">
        <f>36+1</f>
        <v>37</v>
      </c>
      <c r="K116" s="30">
        <f>35+1</f>
        <v>36</v>
      </c>
      <c r="L116" s="30">
        <f>31+1</f>
        <v>32</v>
      </c>
      <c r="M116" s="30">
        <f>29+1</f>
        <v>30</v>
      </c>
      <c r="N116" s="30">
        <f>12+20+4</f>
        <v>36</v>
      </c>
      <c r="O116" s="30">
        <f>8+20+1</f>
        <v>29</v>
      </c>
      <c r="P116" s="30">
        <f>8+20+2</f>
        <v>30</v>
      </c>
      <c r="Q116" s="30">
        <f>0+40+3</f>
        <v>43</v>
      </c>
      <c r="R116" s="30">
        <f>0+20+13</f>
        <v>33</v>
      </c>
      <c r="S116" s="30">
        <f>0+40+12</f>
        <v>52</v>
      </c>
      <c r="T116" s="30">
        <f>6+36+31</f>
        <v>73</v>
      </c>
      <c r="U116" s="30">
        <f>27+36+18</f>
        <v>81</v>
      </c>
      <c r="V116" s="30">
        <f>28+36+10</f>
        <v>74</v>
      </c>
      <c r="W116" s="30">
        <f>43+6</f>
        <v>49</v>
      </c>
      <c r="X116" s="30">
        <f>33+2</f>
        <v>35</v>
      </c>
      <c r="Y116" s="30">
        <f>28+2</f>
        <v>30</v>
      </c>
      <c r="Z116" s="30">
        <f>24+2</f>
        <v>26</v>
      </c>
      <c r="AA116" s="30">
        <f>17+3</f>
        <v>20</v>
      </c>
      <c r="AB116" s="30">
        <f>14+1</f>
        <v>15</v>
      </c>
      <c r="AC116" s="30">
        <f>11+2</f>
        <v>13</v>
      </c>
      <c r="AD116" s="30">
        <f>6+2+50</f>
        <v>58</v>
      </c>
      <c r="AE116" s="30">
        <f>14+37</f>
        <v>51</v>
      </c>
      <c r="AF116" s="30">
        <f>38+6</f>
        <v>44</v>
      </c>
      <c r="AG116" s="30">
        <f>33+5</f>
        <v>38</v>
      </c>
      <c r="AH116" s="30">
        <f>28+20+3</f>
        <v>51</v>
      </c>
      <c r="AI116" s="30">
        <f>22+21</f>
        <v>43</v>
      </c>
      <c r="AJ116" s="30">
        <f>15+22</f>
        <v>37</v>
      </c>
    </row>
    <row r="117" spans="1:69" ht="80.099999999999994" customHeight="1">
      <c r="A117" s="128" t="s">
        <v>8</v>
      </c>
      <c r="B117" s="91" t="s">
        <v>1071</v>
      </c>
      <c r="C117" s="78" t="s">
        <v>1001</v>
      </c>
      <c r="D117" s="58" t="s">
        <v>283</v>
      </c>
      <c r="E117" s="92">
        <v>7</v>
      </c>
      <c r="F117" s="77" t="s">
        <v>284</v>
      </c>
      <c r="G117" s="29"/>
      <c r="H117" s="29"/>
      <c r="J117" s="30">
        <f>4+1</f>
        <v>5</v>
      </c>
      <c r="K117" s="30">
        <f>3</f>
        <v>3</v>
      </c>
      <c r="L117" s="30">
        <v>2</v>
      </c>
      <c r="M117" s="30">
        <v>1</v>
      </c>
      <c r="N117" s="30">
        <f>0+5</f>
        <v>5</v>
      </c>
      <c r="O117" s="30">
        <f>0+5</f>
        <v>5</v>
      </c>
      <c r="P117" s="30">
        <f>0+5</f>
        <v>5</v>
      </c>
      <c r="Q117" s="30">
        <f>0+5</f>
        <v>5</v>
      </c>
      <c r="R117" s="30">
        <f>0+5</f>
        <v>5</v>
      </c>
      <c r="S117" s="30">
        <f>0+5</f>
        <v>5</v>
      </c>
      <c r="T117" s="30">
        <f>2+1</f>
        <v>3</v>
      </c>
      <c r="U117" s="30">
        <v>2</v>
      </c>
      <c r="V117" s="30">
        <f>0+10</f>
        <v>10</v>
      </c>
      <c r="W117" s="30">
        <f>5</f>
        <v>5</v>
      </c>
      <c r="X117" s="30">
        <f>3+10</f>
        <v>13</v>
      </c>
      <c r="Y117" s="30">
        <v>12</v>
      </c>
      <c r="Z117" s="30">
        <f>9+1</f>
        <v>10</v>
      </c>
      <c r="AA117" s="30">
        <v>8</v>
      </c>
      <c r="AB117" s="30">
        <v>8</v>
      </c>
      <c r="AC117" s="30">
        <f>6+1</f>
        <v>7</v>
      </c>
      <c r="AD117" s="30">
        <f>6+15</f>
        <v>21</v>
      </c>
      <c r="AE117" s="30">
        <f>8+3</f>
        <v>11</v>
      </c>
      <c r="AF117" s="30">
        <f>5+2</f>
        <v>7</v>
      </c>
      <c r="AG117" s="30">
        <v>5</v>
      </c>
      <c r="AH117" s="30">
        <f>1+10+1</f>
        <v>12</v>
      </c>
      <c r="AI117" s="30">
        <f>1+10</f>
        <v>11</v>
      </c>
      <c r="AJ117" s="30">
        <f>2+9</f>
        <v>11</v>
      </c>
    </row>
    <row r="118" spans="1:69" ht="80.099999999999994" customHeight="1">
      <c r="A118" s="128" t="s">
        <v>1406</v>
      </c>
      <c r="B118" s="91"/>
      <c r="C118" s="78" t="s">
        <v>286</v>
      </c>
      <c r="D118" s="64" t="s">
        <v>285</v>
      </c>
      <c r="E118" s="92"/>
      <c r="F118" s="77" t="s">
        <v>287</v>
      </c>
      <c r="G118" s="29"/>
      <c r="H118" s="29"/>
      <c r="J118" s="30">
        <v>9</v>
      </c>
      <c r="K118" s="30">
        <v>9</v>
      </c>
      <c r="L118" s="30">
        <v>9</v>
      </c>
      <c r="M118" s="30">
        <v>9</v>
      </c>
      <c r="N118" s="30">
        <v>9</v>
      </c>
      <c r="O118" s="30">
        <v>9</v>
      </c>
      <c r="P118" s="30">
        <v>9</v>
      </c>
      <c r="Q118" s="30">
        <v>9</v>
      </c>
      <c r="R118" s="30">
        <v>9</v>
      </c>
      <c r="S118" s="30">
        <v>9</v>
      </c>
      <c r="T118" s="30">
        <v>9</v>
      </c>
      <c r="U118" s="30">
        <v>9</v>
      </c>
      <c r="V118" s="30">
        <v>9</v>
      </c>
      <c r="W118" s="30">
        <v>9</v>
      </c>
      <c r="X118" s="30">
        <v>9</v>
      </c>
      <c r="Y118" s="30">
        <v>9</v>
      </c>
      <c r="Z118" s="30">
        <v>9</v>
      </c>
      <c r="AA118" s="30">
        <v>9</v>
      </c>
      <c r="AB118" s="30">
        <v>9</v>
      </c>
      <c r="AC118" s="30">
        <v>9</v>
      </c>
      <c r="AD118" s="30">
        <v>9</v>
      </c>
      <c r="AE118" s="30">
        <v>9</v>
      </c>
      <c r="AF118" s="30">
        <v>9</v>
      </c>
      <c r="AG118" s="30">
        <v>9</v>
      </c>
      <c r="AH118" s="30">
        <v>9</v>
      </c>
      <c r="AI118" s="30">
        <v>9</v>
      </c>
      <c r="AJ118" s="30">
        <v>9</v>
      </c>
    </row>
    <row r="119" spans="1:69" s="32" customFormat="1" ht="80.099999999999994" customHeight="1">
      <c r="A119" s="122" t="s">
        <v>1436</v>
      </c>
      <c r="B119" s="74" t="s">
        <v>1068</v>
      </c>
      <c r="C119" s="78" t="s">
        <v>289</v>
      </c>
      <c r="D119" s="58" t="s">
        <v>288</v>
      </c>
      <c r="E119" s="76"/>
      <c r="F119" s="77" t="s">
        <v>290</v>
      </c>
      <c r="G119" s="25"/>
      <c r="H119" s="25"/>
      <c r="I119" s="23"/>
      <c r="J119" s="30">
        <v>5</v>
      </c>
      <c r="K119" s="30">
        <f>4+1</f>
        <v>5</v>
      </c>
      <c r="L119" s="30">
        <v>4</v>
      </c>
      <c r="M119" s="30">
        <v>4</v>
      </c>
      <c r="N119" s="30">
        <v>4</v>
      </c>
      <c r="O119" s="30">
        <v>4</v>
      </c>
      <c r="P119" s="30">
        <v>4</v>
      </c>
      <c r="Q119" s="30">
        <v>4</v>
      </c>
      <c r="R119" s="30">
        <f>3+1</f>
        <v>4</v>
      </c>
      <c r="S119" s="30">
        <v>2</v>
      </c>
      <c r="T119" s="30">
        <v>2</v>
      </c>
      <c r="U119" s="30">
        <v>2</v>
      </c>
      <c r="V119" s="30">
        <f>2+3</f>
        <v>5</v>
      </c>
      <c r="W119" s="30">
        <v>4</v>
      </c>
      <c r="X119" s="30">
        <f>4+3</f>
        <v>7</v>
      </c>
      <c r="Y119" s="30">
        <v>7</v>
      </c>
      <c r="Z119" s="30">
        <v>7</v>
      </c>
      <c r="AA119" s="30">
        <v>7</v>
      </c>
      <c r="AB119" s="30">
        <v>7</v>
      </c>
      <c r="AC119" s="30">
        <v>7</v>
      </c>
      <c r="AD119" s="30">
        <v>7</v>
      </c>
      <c r="AE119" s="30">
        <v>7</v>
      </c>
      <c r="AF119" s="30">
        <v>7</v>
      </c>
      <c r="AG119" s="30">
        <v>7</v>
      </c>
      <c r="AH119" s="30">
        <v>7</v>
      </c>
      <c r="AI119" s="30">
        <v>7</v>
      </c>
      <c r="AJ119" s="30">
        <v>7</v>
      </c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</row>
    <row r="120" spans="1:69" ht="80.099999999999994" customHeight="1">
      <c r="A120" s="122" t="s">
        <v>1406</v>
      </c>
      <c r="B120" s="74"/>
      <c r="C120" s="78" t="s">
        <v>292</v>
      </c>
      <c r="D120" s="58" t="s">
        <v>291</v>
      </c>
      <c r="E120" s="76"/>
      <c r="F120" s="77" t="s">
        <v>293</v>
      </c>
      <c r="G120" s="25"/>
      <c r="H120" s="25"/>
      <c r="J120" s="30">
        <v>7</v>
      </c>
      <c r="K120" s="30">
        <v>7</v>
      </c>
      <c r="L120" s="30">
        <v>7</v>
      </c>
      <c r="M120" s="30">
        <v>7</v>
      </c>
      <c r="N120" s="30">
        <v>7</v>
      </c>
      <c r="O120" s="30">
        <v>7</v>
      </c>
      <c r="P120" s="30">
        <v>7</v>
      </c>
      <c r="Q120" s="30">
        <v>7</v>
      </c>
      <c r="R120" s="30">
        <v>7</v>
      </c>
      <c r="S120" s="30">
        <v>7</v>
      </c>
      <c r="T120" s="30">
        <v>7</v>
      </c>
      <c r="U120" s="30">
        <v>7</v>
      </c>
      <c r="V120" s="30">
        <v>7</v>
      </c>
      <c r="W120" s="30">
        <v>7</v>
      </c>
      <c r="X120" s="30">
        <v>7</v>
      </c>
      <c r="Y120" s="30">
        <v>7</v>
      </c>
      <c r="Z120" s="30">
        <v>7</v>
      </c>
      <c r="AA120" s="30">
        <v>7</v>
      </c>
      <c r="AB120" s="30">
        <v>6</v>
      </c>
      <c r="AC120" s="30">
        <v>4</v>
      </c>
      <c r="AD120" s="30">
        <v>4</v>
      </c>
      <c r="AE120" s="30">
        <v>4</v>
      </c>
      <c r="AF120" s="30">
        <v>4</v>
      </c>
      <c r="AG120" s="30">
        <v>4</v>
      </c>
      <c r="AH120" s="30">
        <v>4</v>
      </c>
      <c r="AI120" s="30">
        <v>4</v>
      </c>
      <c r="AJ120" s="30">
        <v>4</v>
      </c>
    </row>
    <row r="121" spans="1:69" ht="80.099999999999994" customHeight="1">
      <c r="A121" s="90" t="s">
        <v>1406</v>
      </c>
      <c r="B121" s="88"/>
      <c r="C121" s="84" t="s">
        <v>1002</v>
      </c>
      <c r="D121" s="58" t="s">
        <v>294</v>
      </c>
      <c r="E121" s="97"/>
      <c r="F121" s="77" t="s">
        <v>295</v>
      </c>
      <c r="G121" s="25"/>
      <c r="H121" s="25"/>
      <c r="J121" s="30">
        <v>9</v>
      </c>
      <c r="K121" s="30">
        <v>9</v>
      </c>
      <c r="L121" s="30">
        <v>9</v>
      </c>
      <c r="M121" s="30">
        <f>8+1</f>
        <v>9</v>
      </c>
      <c r="N121" s="30">
        <v>8</v>
      </c>
      <c r="O121" s="30">
        <v>8</v>
      </c>
      <c r="P121" s="30">
        <v>8</v>
      </c>
      <c r="Q121" s="30">
        <v>8</v>
      </c>
      <c r="R121" s="30">
        <v>8</v>
      </c>
      <c r="S121" s="30">
        <v>8</v>
      </c>
      <c r="T121" s="30">
        <f>7+1</f>
        <v>8</v>
      </c>
      <c r="U121" s="30">
        <v>7</v>
      </c>
      <c r="V121" s="30">
        <v>7</v>
      </c>
      <c r="W121" s="30">
        <v>7</v>
      </c>
      <c r="X121" s="30">
        <v>7</v>
      </c>
      <c r="Y121" s="30">
        <v>7</v>
      </c>
      <c r="Z121" s="30">
        <v>6</v>
      </c>
      <c r="AA121" s="30">
        <v>4</v>
      </c>
      <c r="AB121" s="30">
        <v>2</v>
      </c>
      <c r="AC121" s="30">
        <v>0</v>
      </c>
      <c r="AD121" s="30">
        <f>0+20</f>
        <v>20</v>
      </c>
      <c r="AE121" s="30">
        <f>5+14</f>
        <v>19</v>
      </c>
      <c r="AF121" s="30">
        <v>19</v>
      </c>
      <c r="AG121" s="30">
        <v>19</v>
      </c>
      <c r="AH121" s="30">
        <v>18</v>
      </c>
      <c r="AI121" s="30">
        <v>18</v>
      </c>
      <c r="AJ121" s="30">
        <v>18</v>
      </c>
    </row>
    <row r="122" spans="1:69" s="30" customFormat="1" ht="80.099999999999994" customHeight="1">
      <c r="A122" s="131" t="s">
        <v>1406</v>
      </c>
      <c r="B122" s="101"/>
      <c r="C122" s="84" t="s">
        <v>297</v>
      </c>
      <c r="D122" s="64" t="s">
        <v>296</v>
      </c>
      <c r="E122" s="92"/>
      <c r="F122" s="77" t="s">
        <v>298</v>
      </c>
      <c r="G122" s="29"/>
      <c r="H122" s="29"/>
      <c r="I122" s="23"/>
      <c r="J122" s="30">
        <v>10</v>
      </c>
      <c r="K122" s="30">
        <v>10</v>
      </c>
      <c r="L122" s="30">
        <v>10</v>
      </c>
      <c r="M122" s="30">
        <v>10</v>
      </c>
      <c r="N122" s="30">
        <v>10</v>
      </c>
      <c r="O122" s="30">
        <v>10</v>
      </c>
      <c r="P122" s="30">
        <v>10</v>
      </c>
      <c r="Q122" s="30">
        <v>10</v>
      </c>
      <c r="R122" s="30">
        <v>10</v>
      </c>
      <c r="S122" s="30">
        <v>10</v>
      </c>
      <c r="T122" s="30">
        <v>10</v>
      </c>
      <c r="U122" s="30">
        <v>10</v>
      </c>
      <c r="V122" s="30">
        <v>10</v>
      </c>
      <c r="W122" s="30">
        <v>11</v>
      </c>
      <c r="X122" s="30">
        <v>11</v>
      </c>
      <c r="Y122" s="30">
        <v>11</v>
      </c>
      <c r="Z122" s="30">
        <v>11</v>
      </c>
      <c r="AA122" s="30">
        <v>11</v>
      </c>
      <c r="AB122" s="30">
        <v>11</v>
      </c>
      <c r="AC122" s="30">
        <v>11</v>
      </c>
      <c r="AD122" s="30">
        <v>11</v>
      </c>
      <c r="AE122" s="30">
        <v>11</v>
      </c>
      <c r="AF122" s="30">
        <v>11</v>
      </c>
      <c r="AG122" s="30">
        <v>11</v>
      </c>
      <c r="AH122" s="30">
        <v>10</v>
      </c>
      <c r="AI122" s="30">
        <v>10</v>
      </c>
      <c r="AJ122" s="30">
        <v>10</v>
      </c>
    </row>
    <row r="123" spans="1:69" ht="80.099999999999994" customHeight="1">
      <c r="A123" s="122" t="s">
        <v>8</v>
      </c>
      <c r="B123" s="74" t="s">
        <v>1063</v>
      </c>
      <c r="C123" s="78" t="s">
        <v>300</v>
      </c>
      <c r="D123" s="58" t="s">
        <v>299</v>
      </c>
      <c r="E123" s="76">
        <v>9</v>
      </c>
      <c r="F123" s="77" t="s">
        <v>301</v>
      </c>
      <c r="G123" s="25"/>
      <c r="H123" s="25"/>
      <c r="J123" s="30">
        <f>1+1</f>
        <v>2</v>
      </c>
      <c r="K123" s="30">
        <v>1</v>
      </c>
      <c r="L123" s="30">
        <v>1</v>
      </c>
      <c r="M123" s="30">
        <v>1</v>
      </c>
      <c r="N123" s="30">
        <v>0</v>
      </c>
      <c r="O123" s="30">
        <v>0</v>
      </c>
      <c r="P123" s="30">
        <v>0</v>
      </c>
      <c r="Q123" s="30">
        <f>0+4</f>
        <v>4</v>
      </c>
      <c r="R123" s="30">
        <v>4</v>
      </c>
      <c r="S123" s="30">
        <f>4+4</f>
        <v>8</v>
      </c>
      <c r="T123" s="30">
        <f>4+4</f>
        <v>8</v>
      </c>
      <c r="U123" s="30">
        <f>7+1</f>
        <v>8</v>
      </c>
      <c r="V123" s="30">
        <v>8</v>
      </c>
      <c r="W123" s="30">
        <v>6</v>
      </c>
      <c r="X123" s="30">
        <v>6</v>
      </c>
      <c r="Y123" s="30">
        <v>7</v>
      </c>
      <c r="Z123" s="30">
        <v>7</v>
      </c>
      <c r="AA123" s="30">
        <v>7</v>
      </c>
      <c r="AB123" s="30">
        <v>7</v>
      </c>
      <c r="AC123" s="30">
        <v>7</v>
      </c>
      <c r="AD123" s="30">
        <v>7</v>
      </c>
      <c r="AE123" s="30">
        <f>6+1</f>
        <v>7</v>
      </c>
      <c r="AF123" s="30">
        <v>6</v>
      </c>
      <c r="AG123" s="30">
        <v>5</v>
      </c>
      <c r="AH123" s="30">
        <v>5</v>
      </c>
      <c r="AI123" s="30">
        <v>5</v>
      </c>
      <c r="AJ123" s="30">
        <v>5</v>
      </c>
    </row>
    <row r="124" spans="1:69" ht="80.099999999999994" customHeight="1">
      <c r="A124" s="90" t="s">
        <v>32</v>
      </c>
      <c r="B124" s="88"/>
      <c r="C124" s="84" t="s">
        <v>922</v>
      </c>
      <c r="D124" s="96" t="s">
        <v>302</v>
      </c>
      <c r="E124" s="87"/>
      <c r="F124" s="77" t="s">
        <v>304</v>
      </c>
      <c r="G124" s="25"/>
      <c r="H124" s="25"/>
      <c r="J124" s="30">
        <f>50+37</f>
        <v>87</v>
      </c>
      <c r="K124" s="30">
        <f>54+23</f>
        <v>77</v>
      </c>
      <c r="L124" s="30">
        <f>34+27</f>
        <v>61</v>
      </c>
      <c r="M124" s="30">
        <f>25+23</f>
        <v>48</v>
      </c>
      <c r="N124" s="30">
        <f>19+60+17</f>
        <v>96</v>
      </c>
      <c r="O124" s="30">
        <f>14+60+8</f>
        <v>82</v>
      </c>
      <c r="P124" s="30">
        <f>12+60+5</f>
        <v>77</v>
      </c>
      <c r="Q124" s="30">
        <f>3+100+10</f>
        <v>113</v>
      </c>
      <c r="R124" s="30">
        <f>0+40+63</f>
        <v>103</v>
      </c>
      <c r="S124" s="30">
        <f>1+40+65</f>
        <v>106</v>
      </c>
      <c r="T124" s="30">
        <f>36+50+64</f>
        <v>150</v>
      </c>
      <c r="U124" s="30">
        <f>92+50+1</f>
        <v>143</v>
      </c>
      <c r="V124" s="30">
        <f>87+50+1</f>
        <v>138</v>
      </c>
      <c r="W124" s="30">
        <f>89+7</f>
        <v>96</v>
      </c>
      <c r="X124" s="30">
        <f>82+50+1</f>
        <v>133</v>
      </c>
      <c r="Y124" s="30">
        <f>73+50</f>
        <v>123</v>
      </c>
      <c r="Z124" s="30">
        <f>70+50</f>
        <v>120</v>
      </c>
      <c r="AA124" s="30">
        <f>71+45</f>
        <v>116</v>
      </c>
      <c r="AB124" s="30">
        <f>106+3</f>
        <v>109</v>
      </c>
      <c r="AC124" s="30">
        <f>63+8</f>
        <v>71</v>
      </c>
      <c r="AD124" s="30">
        <f>33+8</f>
        <v>41</v>
      </c>
      <c r="AE124" s="30">
        <f>9+50+4</f>
        <v>63</v>
      </c>
      <c r="AF124" s="30">
        <f>0+100+0</f>
        <v>100</v>
      </c>
      <c r="AG124" s="30">
        <f>31+59</f>
        <v>90</v>
      </c>
      <c r="AH124" s="30">
        <f>54+50+14</f>
        <v>118</v>
      </c>
      <c r="AI124" s="30">
        <f>59+52</f>
        <v>111</v>
      </c>
      <c r="AJ124" s="30">
        <f>47+47</f>
        <v>94</v>
      </c>
    </row>
    <row r="125" spans="1:69" ht="80.099999999999994" customHeight="1">
      <c r="A125" s="122" t="s">
        <v>8</v>
      </c>
      <c r="B125" s="74" t="s">
        <v>1413</v>
      </c>
      <c r="C125" s="78" t="s">
        <v>306</v>
      </c>
      <c r="D125" s="58" t="s">
        <v>305</v>
      </c>
      <c r="E125" s="76">
        <v>9</v>
      </c>
      <c r="F125" s="77" t="s">
        <v>307</v>
      </c>
      <c r="G125" s="25"/>
      <c r="H125" s="25"/>
      <c r="J125" s="30">
        <v>5</v>
      </c>
      <c r="K125" s="30">
        <v>5</v>
      </c>
      <c r="L125" s="30">
        <v>5</v>
      </c>
      <c r="M125" s="30">
        <v>5</v>
      </c>
      <c r="N125" s="30">
        <v>5</v>
      </c>
      <c r="O125" s="30">
        <v>5</v>
      </c>
      <c r="P125" s="30">
        <v>5</v>
      </c>
      <c r="Q125" s="30">
        <v>5</v>
      </c>
      <c r="R125" s="30">
        <v>5</v>
      </c>
      <c r="S125" s="30">
        <v>5</v>
      </c>
      <c r="T125" s="30">
        <v>5</v>
      </c>
      <c r="U125" s="30">
        <v>5</v>
      </c>
      <c r="V125" s="30">
        <v>5</v>
      </c>
      <c r="W125" s="30">
        <v>5</v>
      </c>
      <c r="X125" s="30">
        <v>5</v>
      </c>
      <c r="Y125" s="30">
        <v>5</v>
      </c>
      <c r="Z125" s="30">
        <v>5</v>
      </c>
      <c r="AA125" s="30">
        <v>5</v>
      </c>
      <c r="AB125" s="30">
        <v>5</v>
      </c>
      <c r="AC125" s="30">
        <v>5</v>
      </c>
      <c r="AD125" s="30">
        <v>5</v>
      </c>
      <c r="AE125" s="30">
        <v>5</v>
      </c>
      <c r="AF125" s="30">
        <v>5</v>
      </c>
      <c r="AG125" s="30">
        <v>5</v>
      </c>
      <c r="AH125" s="30">
        <v>5</v>
      </c>
      <c r="AI125" s="30">
        <v>5</v>
      </c>
      <c r="AJ125" s="30">
        <v>5</v>
      </c>
    </row>
    <row r="126" spans="1:69" ht="80.099999999999994" customHeight="1">
      <c r="A126" s="122" t="s">
        <v>3</v>
      </c>
      <c r="B126" s="74"/>
      <c r="C126" s="75" t="s">
        <v>309</v>
      </c>
      <c r="D126" s="58" t="s">
        <v>308</v>
      </c>
      <c r="E126" s="76"/>
      <c r="F126" s="77" t="s">
        <v>310</v>
      </c>
      <c r="G126" s="25"/>
      <c r="H126" s="25"/>
      <c r="J126" s="30">
        <v>26</v>
      </c>
      <c r="K126" s="30">
        <v>26</v>
      </c>
      <c r="L126" s="30">
        <v>26</v>
      </c>
      <c r="M126" s="30">
        <v>26</v>
      </c>
      <c r="N126" s="30">
        <v>26</v>
      </c>
      <c r="O126" s="30">
        <v>26</v>
      </c>
      <c r="P126" s="30">
        <v>26</v>
      </c>
      <c r="Q126" s="30">
        <v>26</v>
      </c>
      <c r="R126" s="30">
        <v>26</v>
      </c>
      <c r="S126" s="30">
        <v>26</v>
      </c>
      <c r="T126" s="30">
        <v>26</v>
      </c>
      <c r="U126" s="30">
        <v>26</v>
      </c>
      <c r="V126" s="30">
        <v>26</v>
      </c>
      <c r="W126" s="30">
        <v>26</v>
      </c>
      <c r="X126" s="30">
        <v>26</v>
      </c>
      <c r="Y126" s="30">
        <v>26</v>
      </c>
      <c r="Z126" s="30">
        <v>26</v>
      </c>
      <c r="AA126" s="30">
        <v>26</v>
      </c>
      <c r="AB126" s="30">
        <v>26</v>
      </c>
      <c r="AC126" s="30">
        <v>26</v>
      </c>
      <c r="AD126" s="30">
        <v>26</v>
      </c>
      <c r="AE126" s="30">
        <v>26</v>
      </c>
      <c r="AF126" s="30">
        <v>26</v>
      </c>
      <c r="AG126" s="30">
        <v>26</v>
      </c>
      <c r="AH126" s="30">
        <v>26</v>
      </c>
      <c r="AI126" s="30">
        <v>26</v>
      </c>
      <c r="AJ126" s="30">
        <v>26</v>
      </c>
    </row>
    <row r="127" spans="1:69" ht="80.099999999999994" customHeight="1">
      <c r="A127" s="122" t="s">
        <v>1405</v>
      </c>
      <c r="B127" s="74"/>
      <c r="C127" s="75" t="s">
        <v>312</v>
      </c>
      <c r="D127" s="58" t="s">
        <v>311</v>
      </c>
      <c r="E127" s="76"/>
      <c r="F127" s="77" t="s">
        <v>313</v>
      </c>
      <c r="G127" s="27" t="s">
        <v>314</v>
      </c>
      <c r="H127" s="27"/>
      <c r="J127" s="30">
        <v>15</v>
      </c>
      <c r="K127" s="30">
        <v>15</v>
      </c>
      <c r="L127" s="30">
        <v>15</v>
      </c>
      <c r="M127" s="30">
        <v>15</v>
      </c>
      <c r="N127" s="30">
        <v>15</v>
      </c>
      <c r="O127" s="30">
        <v>15</v>
      </c>
      <c r="P127" s="30">
        <v>15</v>
      </c>
      <c r="Q127" s="30">
        <v>14</v>
      </c>
      <c r="R127" s="30">
        <v>14</v>
      </c>
      <c r="S127" s="30">
        <v>14</v>
      </c>
      <c r="T127" s="30">
        <v>13</v>
      </c>
      <c r="U127" s="30">
        <v>13</v>
      </c>
      <c r="V127" s="30">
        <v>13</v>
      </c>
      <c r="W127" s="30">
        <v>13</v>
      </c>
      <c r="X127" s="30">
        <v>12</v>
      </c>
      <c r="Y127" s="30">
        <v>12</v>
      </c>
      <c r="Z127" s="30">
        <v>12</v>
      </c>
      <c r="AA127" s="30">
        <f>10+1</f>
        <v>11</v>
      </c>
      <c r="AB127" s="30">
        <v>10</v>
      </c>
      <c r="AC127" s="30">
        <v>10</v>
      </c>
      <c r="AD127" s="30">
        <v>10</v>
      </c>
      <c r="AE127" s="30">
        <f>4+2</f>
        <v>6</v>
      </c>
      <c r="AF127" s="30">
        <f>6+10</f>
        <v>16</v>
      </c>
      <c r="AG127" s="30">
        <v>16</v>
      </c>
      <c r="AH127" s="30">
        <v>15</v>
      </c>
      <c r="AI127" s="30">
        <v>15</v>
      </c>
      <c r="AJ127" s="30">
        <v>15</v>
      </c>
    </row>
    <row r="128" spans="1:69" ht="80.099999999999994" customHeight="1">
      <c r="A128" s="127" t="s">
        <v>8</v>
      </c>
      <c r="B128" s="86" t="s">
        <v>1063</v>
      </c>
      <c r="C128" s="78" t="s">
        <v>923</v>
      </c>
      <c r="D128" s="96" t="s">
        <v>315</v>
      </c>
      <c r="E128" s="76">
        <v>8</v>
      </c>
      <c r="F128" s="77" t="s">
        <v>317</v>
      </c>
      <c r="G128" s="25"/>
      <c r="H128" s="25"/>
      <c r="J128" s="30">
        <v>2</v>
      </c>
      <c r="K128" s="30">
        <v>2</v>
      </c>
      <c r="L128" s="30">
        <v>2</v>
      </c>
      <c r="M128" s="30">
        <v>2</v>
      </c>
      <c r="N128" s="30">
        <v>2</v>
      </c>
      <c r="O128" s="30">
        <f>0+1</f>
        <v>1</v>
      </c>
      <c r="P128" s="30">
        <f>0</f>
        <v>0</v>
      </c>
      <c r="Q128" s="30">
        <f>1+2</f>
        <v>3</v>
      </c>
      <c r="R128" s="30">
        <v>2</v>
      </c>
      <c r="S128" s="30">
        <v>2</v>
      </c>
      <c r="T128" s="30">
        <f>2+5</f>
        <v>7</v>
      </c>
      <c r="U128" s="30">
        <f>2+5</f>
        <v>7</v>
      </c>
      <c r="V128" s="30">
        <v>7</v>
      </c>
      <c r="W128" s="30">
        <v>7</v>
      </c>
      <c r="X128" s="30">
        <f>5+1</f>
        <v>6</v>
      </c>
      <c r="Y128" s="30">
        <v>6</v>
      </c>
      <c r="Z128" s="30">
        <v>6</v>
      </c>
      <c r="AA128" s="30">
        <v>6</v>
      </c>
      <c r="AB128" s="30">
        <v>5</v>
      </c>
      <c r="AC128" s="30">
        <v>4</v>
      </c>
      <c r="AD128" s="30">
        <v>4</v>
      </c>
      <c r="AE128" s="30">
        <v>4</v>
      </c>
      <c r="AF128" s="30">
        <f>2+1</f>
        <v>3</v>
      </c>
      <c r="AG128" s="30">
        <f>3+5</f>
        <v>8</v>
      </c>
      <c r="AH128" s="30">
        <f>3+5</f>
        <v>8</v>
      </c>
      <c r="AI128" s="30">
        <f>3+5</f>
        <v>8</v>
      </c>
      <c r="AJ128" s="30">
        <f>2+5</f>
        <v>7</v>
      </c>
    </row>
    <row r="129" spans="1:69" ht="80.099999999999994" customHeight="1">
      <c r="A129" s="122" t="s">
        <v>8</v>
      </c>
      <c r="B129" s="74" t="s">
        <v>1061</v>
      </c>
      <c r="C129" s="78" t="s">
        <v>319</v>
      </c>
      <c r="D129" s="58" t="s">
        <v>318</v>
      </c>
      <c r="E129" s="76">
        <v>6</v>
      </c>
      <c r="F129" s="77" t="s">
        <v>320</v>
      </c>
      <c r="G129" s="25"/>
      <c r="H129" s="25"/>
      <c r="J129" s="30">
        <v>5</v>
      </c>
      <c r="K129" s="30">
        <v>5</v>
      </c>
      <c r="L129" s="30">
        <v>5</v>
      </c>
      <c r="M129" s="30">
        <v>5</v>
      </c>
      <c r="N129" s="30">
        <v>5</v>
      </c>
      <c r="O129" s="30">
        <v>5</v>
      </c>
      <c r="P129" s="30">
        <v>5</v>
      </c>
      <c r="Q129" s="30">
        <v>5</v>
      </c>
      <c r="R129" s="30">
        <v>5</v>
      </c>
      <c r="S129" s="30">
        <v>5</v>
      </c>
      <c r="T129" s="30">
        <v>5</v>
      </c>
      <c r="U129" s="30">
        <v>5</v>
      </c>
      <c r="V129" s="30">
        <v>5</v>
      </c>
      <c r="W129" s="30">
        <v>5</v>
      </c>
      <c r="X129" s="30">
        <v>5</v>
      </c>
      <c r="Y129" s="30">
        <v>5</v>
      </c>
      <c r="Z129" s="30">
        <v>5</v>
      </c>
      <c r="AA129" s="30">
        <v>5</v>
      </c>
      <c r="AB129" s="30">
        <v>5</v>
      </c>
      <c r="AC129" s="30">
        <v>5</v>
      </c>
      <c r="AD129" s="30">
        <v>5</v>
      </c>
      <c r="AE129" s="30">
        <v>5</v>
      </c>
      <c r="AF129" s="30">
        <v>5</v>
      </c>
      <c r="AG129" s="30">
        <v>5</v>
      </c>
      <c r="AH129" s="30">
        <v>5</v>
      </c>
      <c r="AI129" s="30">
        <v>5</v>
      </c>
      <c r="AJ129" s="30">
        <v>5</v>
      </c>
    </row>
    <row r="130" spans="1:69" ht="80.099999999999994" customHeight="1">
      <c r="A130" s="122" t="s">
        <v>17</v>
      </c>
      <c r="B130" s="74" t="s">
        <v>1066</v>
      </c>
      <c r="C130" s="78" t="s">
        <v>924</v>
      </c>
      <c r="D130" s="58" t="s">
        <v>321</v>
      </c>
      <c r="E130" s="76"/>
      <c r="F130" s="77" t="s">
        <v>322</v>
      </c>
      <c r="G130" s="25"/>
      <c r="H130" s="25"/>
      <c r="I130" s="23" t="s">
        <v>20</v>
      </c>
      <c r="J130" s="30">
        <v>3</v>
      </c>
      <c r="K130" s="30">
        <v>2</v>
      </c>
      <c r="L130" s="30">
        <v>2</v>
      </c>
      <c r="M130" s="30">
        <v>2</v>
      </c>
      <c r="N130" s="30">
        <f>1+1</f>
        <v>2</v>
      </c>
      <c r="O130" s="30">
        <v>1</v>
      </c>
      <c r="P130" s="30">
        <v>1</v>
      </c>
      <c r="Q130" s="30">
        <f>1+2</f>
        <v>3</v>
      </c>
      <c r="R130" s="30">
        <v>2</v>
      </c>
      <c r="S130" s="30">
        <v>2</v>
      </c>
      <c r="T130" s="30">
        <f>2+5</f>
        <v>7</v>
      </c>
      <c r="U130" s="30">
        <f>1+5</f>
        <v>6</v>
      </c>
      <c r="V130" s="30">
        <v>5</v>
      </c>
      <c r="W130" s="30">
        <f>3</f>
        <v>3</v>
      </c>
      <c r="X130" s="30">
        <v>3</v>
      </c>
      <c r="Y130" s="30">
        <v>3</v>
      </c>
      <c r="Z130" s="30">
        <f>3+5</f>
        <v>8</v>
      </c>
      <c r="AA130" s="30">
        <v>8</v>
      </c>
      <c r="AB130" s="30">
        <v>8</v>
      </c>
      <c r="AC130" s="30">
        <v>8</v>
      </c>
      <c r="AD130" s="30">
        <v>8</v>
      </c>
      <c r="AE130" s="30">
        <f>7+1</f>
        <v>8</v>
      </c>
      <c r="AF130" s="30">
        <v>7</v>
      </c>
      <c r="AG130" s="30">
        <v>7</v>
      </c>
      <c r="AH130" s="30">
        <v>6</v>
      </c>
      <c r="AI130" s="30">
        <v>6</v>
      </c>
      <c r="AJ130" s="30">
        <v>6</v>
      </c>
    </row>
    <row r="131" spans="1:69" ht="80.099999999999994" customHeight="1">
      <c r="A131" s="127" t="s">
        <v>8</v>
      </c>
      <c r="B131" s="86" t="s">
        <v>1060</v>
      </c>
      <c r="C131" s="78" t="s">
        <v>1003</v>
      </c>
      <c r="D131" s="58" t="s">
        <v>323</v>
      </c>
      <c r="E131" s="76">
        <v>9</v>
      </c>
      <c r="F131" s="77" t="s">
        <v>324</v>
      </c>
      <c r="G131" s="25"/>
      <c r="H131" s="25"/>
      <c r="J131" s="30">
        <v>6</v>
      </c>
      <c r="K131" s="30">
        <v>6</v>
      </c>
      <c r="L131" s="30">
        <v>6</v>
      </c>
      <c r="M131" s="30">
        <v>6</v>
      </c>
      <c r="N131" s="30">
        <f>5+4+0</f>
        <v>9</v>
      </c>
      <c r="O131" s="30">
        <f>5+4</f>
        <v>9</v>
      </c>
      <c r="P131" s="30">
        <f>5+4</f>
        <v>9</v>
      </c>
      <c r="Q131" s="30">
        <f>4+4</f>
        <v>8</v>
      </c>
      <c r="R131" s="30">
        <f>6+2</f>
        <v>8</v>
      </c>
      <c r="S131" s="30">
        <f>5+2+1</f>
        <v>8</v>
      </c>
      <c r="T131" s="30">
        <v>7</v>
      </c>
      <c r="U131" s="30">
        <v>7</v>
      </c>
      <c r="V131" s="30">
        <v>7</v>
      </c>
      <c r="W131" s="30">
        <v>7</v>
      </c>
      <c r="X131" s="30">
        <v>7</v>
      </c>
      <c r="Y131" s="30">
        <v>7</v>
      </c>
      <c r="Z131" s="30">
        <v>6</v>
      </c>
      <c r="AA131" s="30">
        <v>4</v>
      </c>
      <c r="AB131" s="30">
        <v>3</v>
      </c>
      <c r="AC131" s="30">
        <v>3</v>
      </c>
      <c r="AD131" s="30">
        <f>3+5</f>
        <v>8</v>
      </c>
      <c r="AE131" s="30">
        <f>6+2</f>
        <v>8</v>
      </c>
      <c r="AF131" s="30">
        <v>7</v>
      </c>
      <c r="AG131" s="30">
        <v>6</v>
      </c>
      <c r="AH131" s="30">
        <v>6</v>
      </c>
      <c r="AI131" s="30">
        <v>6</v>
      </c>
      <c r="AJ131" s="30">
        <v>6</v>
      </c>
    </row>
    <row r="132" spans="1:69" ht="80.099999999999994" customHeight="1">
      <c r="A132" s="122" t="s">
        <v>8</v>
      </c>
      <c r="B132" s="74" t="s">
        <v>1067</v>
      </c>
      <c r="C132" s="78" t="s">
        <v>326</v>
      </c>
      <c r="D132" s="58" t="s">
        <v>325</v>
      </c>
      <c r="E132" s="76">
        <v>9</v>
      </c>
      <c r="F132" s="77" t="s">
        <v>327</v>
      </c>
      <c r="G132" s="25"/>
      <c r="H132" s="25"/>
      <c r="J132" s="30">
        <v>3</v>
      </c>
      <c r="K132" s="30">
        <v>3</v>
      </c>
      <c r="L132" s="30">
        <v>3</v>
      </c>
      <c r="M132" s="30">
        <v>3</v>
      </c>
      <c r="N132" s="30">
        <v>3</v>
      </c>
      <c r="O132" s="30">
        <v>3</v>
      </c>
      <c r="P132" s="30">
        <v>3</v>
      </c>
      <c r="Q132" s="30">
        <v>3</v>
      </c>
      <c r="R132" s="30">
        <v>3</v>
      </c>
      <c r="S132" s="30">
        <v>3</v>
      </c>
      <c r="T132" s="30">
        <v>3</v>
      </c>
      <c r="U132" s="30">
        <v>3</v>
      </c>
      <c r="V132" s="30">
        <v>3</v>
      </c>
      <c r="W132" s="30">
        <v>3</v>
      </c>
      <c r="X132" s="30">
        <v>3</v>
      </c>
      <c r="Y132" s="30">
        <v>3</v>
      </c>
      <c r="Z132" s="30">
        <v>3</v>
      </c>
      <c r="AA132" s="30">
        <v>3</v>
      </c>
      <c r="AB132" s="30">
        <v>3</v>
      </c>
      <c r="AC132" s="30">
        <v>3</v>
      </c>
      <c r="AD132" s="30">
        <v>3</v>
      </c>
      <c r="AE132" s="30">
        <v>3</v>
      </c>
      <c r="AF132" s="30">
        <v>3</v>
      </c>
      <c r="AG132" s="30">
        <v>3</v>
      </c>
      <c r="AH132" s="30">
        <v>3</v>
      </c>
      <c r="AI132" s="30">
        <v>3</v>
      </c>
      <c r="AJ132" s="30">
        <v>3</v>
      </c>
    </row>
    <row r="133" spans="1:69" ht="80.099999999999994" customHeight="1">
      <c r="A133" s="127" t="s">
        <v>8</v>
      </c>
      <c r="B133" s="86" t="s">
        <v>1061</v>
      </c>
      <c r="C133" s="78" t="s">
        <v>925</v>
      </c>
      <c r="D133" s="58" t="s">
        <v>328</v>
      </c>
      <c r="E133" s="76">
        <v>6</v>
      </c>
      <c r="F133" s="77" t="s">
        <v>329</v>
      </c>
      <c r="G133" s="25"/>
      <c r="H133" s="25"/>
      <c r="J133" s="30">
        <f>6+1</f>
        <v>7</v>
      </c>
      <c r="K133" s="30">
        <f>4+1</f>
        <v>5</v>
      </c>
      <c r="L133" s="30">
        <v>5</v>
      </c>
      <c r="M133" s="30">
        <f>2+1</f>
        <v>3</v>
      </c>
      <c r="N133" s="30">
        <f>1+6</f>
        <v>7</v>
      </c>
      <c r="O133" s="30">
        <f>0+6</f>
        <v>6</v>
      </c>
      <c r="P133" s="30">
        <f>0+6</f>
        <v>6</v>
      </c>
      <c r="Q133" s="30">
        <f>0+14</f>
        <v>14</v>
      </c>
      <c r="R133" s="30">
        <f>6+6</f>
        <v>12</v>
      </c>
      <c r="S133" s="30">
        <f>5+6+1</f>
        <v>12</v>
      </c>
      <c r="T133" s="30">
        <f>10+10</f>
        <v>20</v>
      </c>
      <c r="U133" s="30">
        <f>9+10</f>
        <v>19</v>
      </c>
      <c r="V133" s="30">
        <f>18+1</f>
        <v>19</v>
      </c>
      <c r="W133" s="30">
        <f>12</f>
        <v>12</v>
      </c>
      <c r="X133" s="30">
        <v>9</v>
      </c>
      <c r="Y133" s="30">
        <v>8</v>
      </c>
      <c r="Z133" s="30">
        <f>8+10+2</f>
        <v>20</v>
      </c>
      <c r="AA133" s="30">
        <f>18+1</f>
        <v>19</v>
      </c>
      <c r="AB133" s="30">
        <v>19</v>
      </c>
      <c r="AC133" s="30">
        <f>16+1</f>
        <v>17</v>
      </c>
      <c r="AD133" s="30">
        <f>15+1</f>
        <v>16</v>
      </c>
      <c r="AE133" s="30">
        <f>14+1</f>
        <v>15</v>
      </c>
      <c r="AF133" s="30">
        <v>12</v>
      </c>
      <c r="AG133" s="30">
        <f>11+10</f>
        <v>21</v>
      </c>
      <c r="AH133" s="30">
        <f>8+10+2</f>
        <v>20</v>
      </c>
      <c r="AI133" s="30">
        <f>10+8</f>
        <v>18</v>
      </c>
      <c r="AJ133" s="30">
        <f>10+8</f>
        <v>18</v>
      </c>
    </row>
    <row r="134" spans="1:69" ht="80.099999999999994" customHeight="1">
      <c r="A134" s="122" t="s">
        <v>1406</v>
      </c>
      <c r="B134" s="74"/>
      <c r="C134" s="78" t="s">
        <v>331</v>
      </c>
      <c r="D134" s="58" t="s">
        <v>330</v>
      </c>
      <c r="E134" s="76"/>
      <c r="F134" s="77" t="s">
        <v>332</v>
      </c>
      <c r="G134" s="25"/>
      <c r="H134" s="25"/>
      <c r="J134" s="30">
        <v>5</v>
      </c>
      <c r="K134" s="30">
        <v>5</v>
      </c>
      <c r="L134" s="30">
        <v>5</v>
      </c>
      <c r="M134" s="30">
        <v>5</v>
      </c>
      <c r="N134" s="30">
        <v>5</v>
      </c>
      <c r="O134" s="30">
        <v>5</v>
      </c>
      <c r="P134" s="30">
        <v>5</v>
      </c>
      <c r="Q134" s="30">
        <v>5</v>
      </c>
      <c r="R134" s="30">
        <v>5</v>
      </c>
      <c r="S134" s="30">
        <v>5</v>
      </c>
      <c r="T134" s="30">
        <v>5</v>
      </c>
      <c r="U134" s="30">
        <v>5</v>
      </c>
      <c r="V134" s="30">
        <v>5</v>
      </c>
      <c r="W134" s="30">
        <v>5</v>
      </c>
      <c r="X134" s="30">
        <v>5</v>
      </c>
      <c r="Y134" s="30">
        <v>5</v>
      </c>
      <c r="Z134" s="30">
        <v>5</v>
      </c>
      <c r="AA134" s="30">
        <v>5</v>
      </c>
      <c r="AB134" s="30">
        <v>5</v>
      </c>
      <c r="AC134" s="30">
        <v>5</v>
      </c>
      <c r="AD134" s="30">
        <v>5</v>
      </c>
      <c r="AE134" s="30">
        <v>5</v>
      </c>
      <c r="AF134" s="30">
        <v>5</v>
      </c>
      <c r="AG134" s="30">
        <v>5</v>
      </c>
      <c r="AH134" s="30">
        <v>5</v>
      </c>
      <c r="AI134" s="30">
        <v>5</v>
      </c>
      <c r="AJ134" s="30">
        <v>5</v>
      </c>
    </row>
    <row r="135" spans="1:69" s="32" customFormat="1" ht="80.099999999999994" customHeight="1">
      <c r="A135" s="122" t="s">
        <v>3</v>
      </c>
      <c r="B135" s="74"/>
      <c r="C135" s="75" t="s">
        <v>334</v>
      </c>
      <c r="D135" s="58" t="s">
        <v>333</v>
      </c>
      <c r="E135" s="76"/>
      <c r="F135" s="77" t="s">
        <v>335</v>
      </c>
      <c r="G135" s="25"/>
      <c r="H135" s="25"/>
      <c r="I135" s="23"/>
      <c r="J135" s="30">
        <v>1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f>0+10</f>
        <v>10</v>
      </c>
      <c r="AI135" s="30">
        <v>10</v>
      </c>
      <c r="AJ135" s="30">
        <v>10</v>
      </c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</row>
    <row r="136" spans="1:69" ht="80.099999999999994" customHeight="1">
      <c r="A136" s="122" t="s">
        <v>1436</v>
      </c>
      <c r="B136" s="74" t="s">
        <v>1062</v>
      </c>
      <c r="C136" s="78" t="s">
        <v>337</v>
      </c>
      <c r="D136" s="58" t="s">
        <v>336</v>
      </c>
      <c r="E136" s="76"/>
      <c r="F136" s="77" t="s">
        <v>338</v>
      </c>
      <c r="G136" s="25"/>
      <c r="H136" s="25"/>
      <c r="J136" s="30">
        <v>5</v>
      </c>
      <c r="K136" s="30">
        <v>5</v>
      </c>
      <c r="L136" s="30">
        <v>5</v>
      </c>
      <c r="M136" s="30">
        <v>5</v>
      </c>
      <c r="N136" s="30">
        <v>5</v>
      </c>
      <c r="O136" s="30">
        <v>5</v>
      </c>
      <c r="P136" s="30">
        <v>5</v>
      </c>
      <c r="Q136" s="30">
        <v>5</v>
      </c>
      <c r="R136" s="30">
        <v>5</v>
      </c>
      <c r="S136" s="30">
        <v>5</v>
      </c>
      <c r="T136" s="30">
        <v>5</v>
      </c>
      <c r="U136" s="30">
        <f>4</f>
        <v>4</v>
      </c>
      <c r="V136" s="30">
        <v>4</v>
      </c>
      <c r="W136" s="30">
        <f>0+1</f>
        <v>1</v>
      </c>
      <c r="X136" s="30">
        <f>1+5</f>
        <v>6</v>
      </c>
      <c r="Y136" s="30">
        <v>6</v>
      </c>
      <c r="Z136" s="30">
        <v>6</v>
      </c>
      <c r="AA136" s="30">
        <v>6</v>
      </c>
      <c r="AB136" s="30">
        <v>6</v>
      </c>
      <c r="AC136" s="30">
        <v>5</v>
      </c>
      <c r="AD136" s="30">
        <v>5</v>
      </c>
      <c r="AE136" s="30">
        <v>2</v>
      </c>
      <c r="AF136" s="30">
        <f>2+5</f>
        <v>7</v>
      </c>
      <c r="AG136" s="30">
        <v>7</v>
      </c>
      <c r="AH136" s="30">
        <v>7</v>
      </c>
      <c r="AI136" s="30">
        <v>7</v>
      </c>
      <c r="AJ136" s="30">
        <v>7</v>
      </c>
    </row>
    <row r="137" spans="1:69" ht="80.099999999999994" customHeight="1">
      <c r="A137" s="131" t="s">
        <v>1406</v>
      </c>
      <c r="B137" s="101"/>
      <c r="C137" s="78" t="s">
        <v>340</v>
      </c>
      <c r="D137" s="64" t="s">
        <v>339</v>
      </c>
      <c r="E137" s="92"/>
      <c r="F137" s="77" t="s">
        <v>341</v>
      </c>
      <c r="G137" s="29"/>
      <c r="H137" s="29"/>
      <c r="J137" s="30">
        <v>24</v>
      </c>
      <c r="K137" s="30">
        <f>24</f>
        <v>24</v>
      </c>
      <c r="L137" s="30">
        <v>25</v>
      </c>
      <c r="M137" s="30">
        <f>22+2</f>
        <v>24</v>
      </c>
      <c r="N137" s="30">
        <v>22</v>
      </c>
      <c r="O137" s="30">
        <f>21+1</f>
        <v>22</v>
      </c>
      <c r="P137" s="30">
        <v>21</v>
      </c>
      <c r="Q137" s="30">
        <v>21</v>
      </c>
      <c r="R137" s="30">
        <v>20</v>
      </c>
      <c r="S137" s="30">
        <v>20</v>
      </c>
      <c r="T137" s="30">
        <f>18+1</f>
        <v>19</v>
      </c>
      <c r="U137" s="30">
        <v>19</v>
      </c>
      <c r="V137" s="30">
        <v>19</v>
      </c>
      <c r="W137" s="30">
        <f>16+0</f>
        <v>16</v>
      </c>
      <c r="X137" s="30">
        <v>16</v>
      </c>
      <c r="Y137" s="30">
        <f>16+1</f>
        <v>17</v>
      </c>
      <c r="Z137" s="30">
        <v>17</v>
      </c>
      <c r="AA137" s="30">
        <v>17</v>
      </c>
      <c r="AB137" s="30">
        <v>17</v>
      </c>
      <c r="AC137" s="30">
        <v>17</v>
      </c>
      <c r="AD137" s="30">
        <v>17</v>
      </c>
      <c r="AE137" s="30">
        <v>17</v>
      </c>
      <c r="AF137" s="30">
        <v>17</v>
      </c>
      <c r="AG137" s="30">
        <v>17</v>
      </c>
      <c r="AH137" s="30">
        <v>17</v>
      </c>
      <c r="AI137" s="30">
        <v>17</v>
      </c>
      <c r="AJ137" s="30">
        <v>17</v>
      </c>
    </row>
    <row r="138" spans="1:69" ht="80.099999999999994" customHeight="1">
      <c r="A138" s="131" t="s">
        <v>32</v>
      </c>
      <c r="B138" s="101"/>
      <c r="C138" s="84" t="s">
        <v>1004</v>
      </c>
      <c r="D138" s="64" t="s">
        <v>880</v>
      </c>
      <c r="E138" s="85"/>
      <c r="F138" s="77" t="s">
        <v>342</v>
      </c>
      <c r="G138" s="29"/>
      <c r="H138" s="29"/>
      <c r="J138" s="30">
        <f>85+4</f>
        <v>89</v>
      </c>
      <c r="K138" s="30">
        <f>78+2</f>
        <v>80</v>
      </c>
      <c r="L138" s="30">
        <f>59+11</f>
        <v>70</v>
      </c>
      <c r="M138" s="30">
        <f>53+4</f>
        <v>57</v>
      </c>
      <c r="N138" s="30">
        <f>36+8</f>
        <v>44</v>
      </c>
      <c r="O138" s="30">
        <f>15+3</f>
        <v>18</v>
      </c>
      <c r="P138" s="30">
        <f>15+1</f>
        <v>16</v>
      </c>
      <c r="Q138" s="30">
        <f>0+200+5</f>
        <v>205</v>
      </c>
      <c r="R138" s="30">
        <f>0+200</f>
        <v>200</v>
      </c>
      <c r="S138" s="30">
        <f>0+200</f>
        <v>200</v>
      </c>
      <c r="T138" s="30">
        <f>135+34+50</f>
        <v>219</v>
      </c>
      <c r="U138" s="30">
        <f>123+34+9</f>
        <v>166</v>
      </c>
      <c r="V138" s="30">
        <f>106+34+10</f>
        <v>150</v>
      </c>
      <c r="W138" s="30">
        <f>91+100+6</f>
        <v>197</v>
      </c>
      <c r="X138" s="30">
        <f>64+106</f>
        <v>170</v>
      </c>
      <c r="Y138" s="30">
        <f>147+7</f>
        <v>154</v>
      </c>
      <c r="Z138" s="30">
        <f>136+50+2</f>
        <v>188</v>
      </c>
      <c r="AA138" s="30">
        <f>110+57</f>
        <v>167</v>
      </c>
      <c r="AB138" s="30">
        <f>86+46</f>
        <v>132</v>
      </c>
      <c r="AC138" s="30">
        <f>97+7</f>
        <v>104</v>
      </c>
      <c r="AD138" s="30">
        <f>65+5+50</f>
        <v>120</v>
      </c>
      <c r="AE138" s="30">
        <f>55+45</f>
        <v>100</v>
      </c>
      <c r="AF138" s="30">
        <f>43+15</f>
        <v>58</v>
      </c>
      <c r="AG138" s="30">
        <f>46+7</f>
        <v>53</v>
      </c>
      <c r="AH138" s="30">
        <f>50+100+4</f>
        <v>154</v>
      </c>
      <c r="AI138" s="30">
        <f>39+105</f>
        <v>144</v>
      </c>
      <c r="AJ138" s="30">
        <f>37+99</f>
        <v>136</v>
      </c>
    </row>
    <row r="139" spans="1:69" s="32" customFormat="1" ht="80.099999999999994" customHeight="1">
      <c r="A139" s="122" t="s">
        <v>1436</v>
      </c>
      <c r="B139" s="74"/>
      <c r="C139" s="75" t="s">
        <v>1167</v>
      </c>
      <c r="D139" s="56" t="s">
        <v>1166</v>
      </c>
      <c r="E139" s="80"/>
      <c r="F139" s="81" t="s">
        <v>1198</v>
      </c>
      <c r="G139" s="23"/>
      <c r="H139" s="25"/>
      <c r="I139" s="49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>
        <v>0</v>
      </c>
      <c r="AJ139" s="30">
        <v>0</v>
      </c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</row>
    <row r="140" spans="1:69" ht="80.099999999999994" customHeight="1">
      <c r="A140" s="130" t="s">
        <v>3</v>
      </c>
      <c r="B140" s="98"/>
      <c r="C140" s="75" t="s">
        <v>344</v>
      </c>
      <c r="D140" s="58" t="s">
        <v>343</v>
      </c>
      <c r="E140" s="76"/>
      <c r="F140" s="77" t="s">
        <v>345</v>
      </c>
      <c r="G140" s="25"/>
      <c r="H140" s="25"/>
      <c r="J140" s="30">
        <v>13</v>
      </c>
      <c r="K140" s="30">
        <v>13</v>
      </c>
      <c r="L140" s="30">
        <v>13</v>
      </c>
      <c r="M140" s="30">
        <v>13</v>
      </c>
      <c r="N140" s="30">
        <v>13</v>
      </c>
      <c r="O140" s="30">
        <v>13</v>
      </c>
      <c r="P140" s="30">
        <v>13</v>
      </c>
      <c r="Q140" s="30">
        <v>13</v>
      </c>
      <c r="R140" s="30">
        <v>13</v>
      </c>
      <c r="S140" s="30">
        <v>13</v>
      </c>
      <c r="T140" s="30">
        <v>13</v>
      </c>
      <c r="U140" s="30">
        <v>13</v>
      </c>
      <c r="V140" s="30">
        <v>13</v>
      </c>
      <c r="W140" s="30">
        <v>13</v>
      </c>
      <c r="X140" s="30">
        <v>13</v>
      </c>
      <c r="Y140" s="30">
        <v>13</v>
      </c>
      <c r="Z140" s="30">
        <v>13</v>
      </c>
      <c r="AA140" s="30">
        <v>13</v>
      </c>
      <c r="AB140" s="30">
        <v>13</v>
      </c>
      <c r="AC140" s="30">
        <v>13</v>
      </c>
      <c r="AD140" s="30">
        <v>13</v>
      </c>
      <c r="AE140" s="30">
        <v>13</v>
      </c>
      <c r="AF140" s="30">
        <v>13</v>
      </c>
      <c r="AG140" s="30">
        <v>13</v>
      </c>
      <c r="AH140" s="30">
        <v>13</v>
      </c>
      <c r="AI140" s="30">
        <v>13</v>
      </c>
      <c r="AJ140" s="30">
        <v>13</v>
      </c>
    </row>
    <row r="141" spans="1:69" ht="80.099999999999994" customHeight="1">
      <c r="A141" s="122" t="s">
        <v>1436</v>
      </c>
      <c r="B141" s="74" t="s">
        <v>1054</v>
      </c>
      <c r="C141" s="78" t="s">
        <v>347</v>
      </c>
      <c r="D141" s="58" t="s">
        <v>346</v>
      </c>
      <c r="E141" s="76"/>
      <c r="F141" s="77" t="s">
        <v>348</v>
      </c>
      <c r="G141" s="25"/>
      <c r="H141" s="25"/>
      <c r="J141" s="30">
        <f>6</f>
        <v>6</v>
      </c>
      <c r="K141" s="30">
        <v>6</v>
      </c>
      <c r="L141" s="30">
        <v>6</v>
      </c>
      <c r="M141" s="30">
        <f>2+2</f>
        <v>4</v>
      </c>
      <c r="N141" s="30">
        <f>2+5+1</f>
        <v>8</v>
      </c>
      <c r="O141" s="30">
        <f>2+5</f>
        <v>7</v>
      </c>
      <c r="P141" s="30">
        <f>2+5</f>
        <v>7</v>
      </c>
      <c r="Q141" s="30">
        <f>1+10+1</f>
        <v>12</v>
      </c>
      <c r="R141" s="30">
        <f>7+4</f>
        <v>11</v>
      </c>
      <c r="S141" s="30">
        <f>5+4</f>
        <v>9</v>
      </c>
      <c r="T141" s="30">
        <f>7+1</f>
        <v>8</v>
      </c>
      <c r="U141" s="30">
        <v>7</v>
      </c>
      <c r="V141" s="30">
        <f>7+10</f>
        <v>17</v>
      </c>
      <c r="W141" s="30">
        <v>15</v>
      </c>
      <c r="X141" s="30">
        <v>11</v>
      </c>
      <c r="Y141" s="30">
        <v>10</v>
      </c>
      <c r="Z141" s="30">
        <v>10</v>
      </c>
      <c r="AA141" s="30">
        <v>10</v>
      </c>
      <c r="AB141" s="30">
        <v>10</v>
      </c>
      <c r="AC141" s="30">
        <v>10</v>
      </c>
      <c r="AD141" s="30">
        <f>8+1</f>
        <v>9</v>
      </c>
      <c r="AE141" s="30">
        <v>8</v>
      </c>
      <c r="AF141" s="30">
        <f>6+0</f>
        <v>6</v>
      </c>
      <c r="AG141" s="30">
        <f>4+10</f>
        <v>14</v>
      </c>
      <c r="AH141" s="30">
        <f>0+10+2</f>
        <v>12</v>
      </c>
      <c r="AI141" s="30">
        <f>3+8</f>
        <v>11</v>
      </c>
      <c r="AJ141" s="30">
        <f>4+10+7</f>
        <v>21</v>
      </c>
    </row>
    <row r="142" spans="1:69" ht="80.099999999999994" customHeight="1">
      <c r="A142" s="127" t="s">
        <v>8</v>
      </c>
      <c r="B142" s="86" t="s">
        <v>1068</v>
      </c>
      <c r="C142" s="78" t="s">
        <v>350</v>
      </c>
      <c r="D142" s="58" t="s">
        <v>349</v>
      </c>
      <c r="E142" s="76">
        <v>6</v>
      </c>
      <c r="F142" s="77" t="s">
        <v>351</v>
      </c>
      <c r="G142" s="25"/>
      <c r="H142" s="25"/>
      <c r="J142" s="30">
        <v>9</v>
      </c>
      <c r="K142" s="30">
        <v>9</v>
      </c>
      <c r="L142" s="30">
        <v>9</v>
      </c>
      <c r="M142" s="30">
        <v>9</v>
      </c>
      <c r="N142" s="30">
        <f>7+1</f>
        <v>8</v>
      </c>
      <c r="O142" s="30">
        <f>5+1</f>
        <v>6</v>
      </c>
      <c r="P142" s="30">
        <v>6</v>
      </c>
      <c r="Q142" s="30">
        <f>4+1</f>
        <v>5</v>
      </c>
      <c r="R142" s="30">
        <f>2+1</f>
        <v>3</v>
      </c>
      <c r="S142" s="30">
        <f>2+5</f>
        <v>7</v>
      </c>
      <c r="T142" s="30">
        <f>2+5</f>
        <v>7</v>
      </c>
      <c r="U142" s="30">
        <f>5+1</f>
        <v>6</v>
      </c>
      <c r="V142" s="30">
        <v>6</v>
      </c>
      <c r="W142" s="30">
        <v>3</v>
      </c>
      <c r="X142" s="30">
        <f>3+5</f>
        <v>8</v>
      </c>
      <c r="Y142" s="30">
        <v>8</v>
      </c>
      <c r="Z142" s="30">
        <f>7</f>
        <v>7</v>
      </c>
      <c r="AA142" s="30">
        <v>7</v>
      </c>
      <c r="AB142" s="30">
        <v>7</v>
      </c>
      <c r="AC142" s="30">
        <v>7</v>
      </c>
      <c r="AD142" s="30">
        <f>6+0</f>
        <v>6</v>
      </c>
      <c r="AE142" s="30">
        <v>7</v>
      </c>
      <c r="AF142" s="30">
        <v>4</v>
      </c>
      <c r="AG142" s="30">
        <f>4+5</f>
        <v>9</v>
      </c>
      <c r="AH142" s="30">
        <f>3+5</f>
        <v>8</v>
      </c>
      <c r="AI142" s="30">
        <f>3+5</f>
        <v>8</v>
      </c>
      <c r="AJ142" s="30">
        <f>3+5</f>
        <v>8</v>
      </c>
    </row>
    <row r="143" spans="1:69" s="32" customFormat="1" ht="80.099999999999994" customHeight="1">
      <c r="A143" s="122" t="s">
        <v>1439</v>
      </c>
      <c r="B143" s="74"/>
      <c r="C143" s="75" t="s">
        <v>1187</v>
      </c>
      <c r="D143" s="56" t="s">
        <v>1186</v>
      </c>
      <c r="E143" s="80"/>
      <c r="F143" s="81" t="s">
        <v>1208</v>
      </c>
      <c r="G143" s="23"/>
      <c r="H143" s="25"/>
      <c r="I143" s="49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>
        <v>0</v>
      </c>
      <c r="AJ143" s="30">
        <f>0+5</f>
        <v>5</v>
      </c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</row>
    <row r="144" spans="1:69" ht="80.099999999999994" customHeight="1">
      <c r="A144" s="90" t="s">
        <v>1405</v>
      </c>
      <c r="B144" s="88"/>
      <c r="C144" s="84" t="s">
        <v>926</v>
      </c>
      <c r="D144" s="60" t="s">
        <v>352</v>
      </c>
      <c r="E144" s="76"/>
      <c r="F144" s="77" t="s">
        <v>353</v>
      </c>
      <c r="G144" s="25"/>
      <c r="H144" s="25"/>
      <c r="J144" s="32">
        <f>0+5</f>
        <v>5</v>
      </c>
      <c r="K144" s="32">
        <f>0+2</f>
        <v>2</v>
      </c>
      <c r="L144" s="32">
        <f>0+2</f>
        <v>2</v>
      </c>
      <c r="M144" s="32">
        <f>0+2</f>
        <v>2</v>
      </c>
      <c r="N144" s="32">
        <f>0+30+0</f>
        <v>30</v>
      </c>
      <c r="O144" s="32">
        <f>0+30</f>
        <v>30</v>
      </c>
      <c r="P144" s="32">
        <f>0+30</f>
        <v>30</v>
      </c>
      <c r="Q144" s="32">
        <f>0+30</f>
        <v>30</v>
      </c>
      <c r="R144" s="32">
        <f>0+23</f>
        <v>23</v>
      </c>
      <c r="S144" s="32">
        <f>0+23</f>
        <v>23</v>
      </c>
      <c r="T144" s="32">
        <f>0+20+23</f>
        <v>43</v>
      </c>
      <c r="U144" s="32">
        <f>20+20+7</f>
        <v>47</v>
      </c>
      <c r="V144" s="32">
        <f>13+20+4</f>
        <v>37</v>
      </c>
      <c r="W144" s="32">
        <f>11+1</f>
        <v>12</v>
      </c>
      <c r="X144" s="32">
        <f>6+20+1</f>
        <v>27</v>
      </c>
      <c r="Y144" s="32">
        <f>4+20+1</f>
        <v>25</v>
      </c>
      <c r="Z144" s="30">
        <f>0+20+1</f>
        <v>21</v>
      </c>
      <c r="AA144" s="30">
        <f>6+11</f>
        <v>17</v>
      </c>
      <c r="AB144" s="30">
        <v>13</v>
      </c>
      <c r="AC144" s="30">
        <f>8+2</f>
        <v>10</v>
      </c>
      <c r="AD144" s="30">
        <f>0+2+20</f>
        <v>22</v>
      </c>
      <c r="AE144" s="30">
        <f>1+14</f>
        <v>15</v>
      </c>
      <c r="AF144" s="30">
        <f>0+30+3</f>
        <v>33</v>
      </c>
      <c r="AG144" s="30">
        <f>26+2</f>
        <v>28</v>
      </c>
      <c r="AH144" s="30">
        <f>15+1</f>
        <v>16</v>
      </c>
      <c r="AI144" s="30">
        <f>13+1</f>
        <v>14</v>
      </c>
      <c r="AJ144" s="30">
        <f>5+3</f>
        <v>8</v>
      </c>
    </row>
    <row r="145" spans="1:36" ht="80.099999999999994" customHeight="1">
      <c r="A145" s="127" t="s">
        <v>1436</v>
      </c>
      <c r="B145" s="86"/>
      <c r="C145" s="84" t="s">
        <v>355</v>
      </c>
      <c r="D145" s="58" t="s">
        <v>354</v>
      </c>
      <c r="E145" s="89"/>
      <c r="F145" s="77" t="s">
        <v>356</v>
      </c>
      <c r="G145" s="25"/>
      <c r="H145" s="25"/>
      <c r="J145" s="30">
        <v>0</v>
      </c>
      <c r="K145" s="30">
        <v>0</v>
      </c>
      <c r="L145" s="30">
        <v>0</v>
      </c>
      <c r="M145" s="30">
        <v>0</v>
      </c>
      <c r="N145" s="30">
        <f>0+3</f>
        <v>3</v>
      </c>
      <c r="O145" s="30">
        <f>0+3</f>
        <v>3</v>
      </c>
      <c r="P145" s="30">
        <f>0+3</f>
        <v>3</v>
      </c>
      <c r="Q145" s="30">
        <f>0+3</f>
        <v>3</v>
      </c>
      <c r="R145" s="30">
        <f>0+3</f>
        <v>3</v>
      </c>
      <c r="S145" s="30">
        <f>3</f>
        <v>3</v>
      </c>
      <c r="T145" s="30">
        <v>1</v>
      </c>
      <c r="U145" s="30">
        <v>1</v>
      </c>
      <c r="V145" s="30">
        <v>1</v>
      </c>
      <c r="W145" s="30">
        <v>0</v>
      </c>
      <c r="X145" s="30">
        <v>0</v>
      </c>
      <c r="Y145" s="30">
        <v>0</v>
      </c>
      <c r="Z145" s="30">
        <f>0+3</f>
        <v>3</v>
      </c>
      <c r="AA145" s="30">
        <v>2</v>
      </c>
      <c r="AB145" s="30">
        <v>2</v>
      </c>
      <c r="AC145" s="30">
        <v>1</v>
      </c>
      <c r="AD145" s="30">
        <v>0</v>
      </c>
      <c r="AE145" s="30">
        <f>0+3</f>
        <v>3</v>
      </c>
      <c r="AF145" s="30">
        <f>1+2</f>
        <v>3</v>
      </c>
      <c r="AG145" s="30">
        <f>0+2</f>
        <v>2</v>
      </c>
      <c r="AH145" s="30">
        <f>1+3</f>
        <v>4</v>
      </c>
      <c r="AI145" s="30">
        <f>1+3</f>
        <v>4</v>
      </c>
      <c r="AJ145" s="30">
        <f>1+3</f>
        <v>4</v>
      </c>
    </row>
    <row r="146" spans="1:36" ht="80.099999999999994" customHeight="1">
      <c r="A146" s="127" t="s">
        <v>1406</v>
      </c>
      <c r="B146" s="86"/>
      <c r="C146" s="84" t="s">
        <v>358</v>
      </c>
      <c r="D146" s="58" t="s">
        <v>357</v>
      </c>
      <c r="E146" s="107"/>
      <c r="F146" s="77" t="s">
        <v>359</v>
      </c>
      <c r="G146" s="25"/>
      <c r="H146" s="25"/>
      <c r="J146" s="30">
        <v>18</v>
      </c>
      <c r="K146" s="30">
        <v>18</v>
      </c>
      <c r="L146" s="30">
        <v>18</v>
      </c>
      <c r="M146" s="30">
        <v>18</v>
      </c>
      <c r="N146" s="30">
        <v>18</v>
      </c>
      <c r="O146" s="30">
        <v>18</v>
      </c>
      <c r="P146" s="30">
        <v>18</v>
      </c>
      <c r="Q146" s="30">
        <v>18</v>
      </c>
      <c r="R146" s="30">
        <v>18</v>
      </c>
      <c r="S146" s="30">
        <v>18</v>
      </c>
      <c r="T146" s="30">
        <v>18</v>
      </c>
      <c r="U146" s="30">
        <v>18</v>
      </c>
      <c r="V146" s="30">
        <v>18</v>
      </c>
      <c r="W146" s="30">
        <v>18</v>
      </c>
      <c r="X146" s="30">
        <v>18</v>
      </c>
      <c r="Y146" s="30">
        <v>18</v>
      </c>
      <c r="Z146" s="30">
        <v>18</v>
      </c>
      <c r="AA146" s="30">
        <v>18</v>
      </c>
      <c r="AB146" s="30">
        <v>7</v>
      </c>
      <c r="AC146" s="30">
        <v>7</v>
      </c>
      <c r="AD146" s="30">
        <v>7</v>
      </c>
      <c r="AE146" s="30">
        <v>7</v>
      </c>
      <c r="AF146" s="30">
        <v>7</v>
      </c>
      <c r="AG146" s="30">
        <v>7</v>
      </c>
      <c r="AH146" s="30">
        <v>7</v>
      </c>
      <c r="AI146" s="30">
        <v>7</v>
      </c>
      <c r="AJ146" s="30">
        <v>7</v>
      </c>
    </row>
    <row r="147" spans="1:36" ht="80.099999999999994" customHeight="1">
      <c r="A147" s="122" t="s">
        <v>8</v>
      </c>
      <c r="B147" s="74" t="s">
        <v>1414</v>
      </c>
      <c r="C147" s="78" t="s">
        <v>361</v>
      </c>
      <c r="D147" s="58" t="s">
        <v>360</v>
      </c>
      <c r="E147" s="76">
        <v>7</v>
      </c>
      <c r="F147" s="77" t="s">
        <v>362</v>
      </c>
      <c r="G147" s="25"/>
      <c r="H147" s="25"/>
      <c r="J147" s="30">
        <v>11</v>
      </c>
      <c r="K147" s="30">
        <v>11</v>
      </c>
      <c r="L147" s="30">
        <v>11</v>
      </c>
      <c r="M147" s="30">
        <v>11</v>
      </c>
      <c r="N147" s="30">
        <v>11</v>
      </c>
      <c r="O147" s="30">
        <v>11</v>
      </c>
      <c r="P147" s="30">
        <v>11</v>
      </c>
      <c r="Q147" s="30">
        <v>11</v>
      </c>
      <c r="R147" s="30">
        <v>11</v>
      </c>
      <c r="S147" s="30">
        <v>11</v>
      </c>
      <c r="T147" s="30">
        <v>11</v>
      </c>
      <c r="U147" s="30">
        <v>11</v>
      </c>
      <c r="V147" s="30">
        <v>11</v>
      </c>
      <c r="W147" s="30">
        <v>11</v>
      </c>
      <c r="X147" s="30">
        <v>11</v>
      </c>
      <c r="Y147" s="30">
        <v>11</v>
      </c>
      <c r="Z147" s="30">
        <v>11</v>
      </c>
      <c r="AA147" s="30">
        <v>11</v>
      </c>
      <c r="AB147" s="30">
        <v>11</v>
      </c>
      <c r="AC147" s="30">
        <v>11</v>
      </c>
      <c r="AD147" s="30">
        <v>11</v>
      </c>
      <c r="AE147" s="30">
        <v>11</v>
      </c>
      <c r="AF147" s="30">
        <v>11</v>
      </c>
      <c r="AG147" s="30">
        <v>11</v>
      </c>
      <c r="AH147" s="30">
        <v>11</v>
      </c>
      <c r="AI147" s="30">
        <v>11</v>
      </c>
      <c r="AJ147" s="30">
        <v>11</v>
      </c>
    </row>
    <row r="148" spans="1:36" ht="80.099999999999994" customHeight="1">
      <c r="A148" s="122" t="s">
        <v>3</v>
      </c>
      <c r="B148" s="74"/>
      <c r="C148" s="75" t="s">
        <v>364</v>
      </c>
      <c r="D148" s="58" t="s">
        <v>363</v>
      </c>
      <c r="E148" s="76"/>
      <c r="F148" s="77" t="s">
        <v>365</v>
      </c>
      <c r="G148" s="25"/>
      <c r="H148" s="25"/>
      <c r="J148" s="30">
        <v>23</v>
      </c>
      <c r="K148" s="30">
        <v>23</v>
      </c>
      <c r="L148" s="30">
        <v>23</v>
      </c>
      <c r="M148" s="30">
        <v>23</v>
      </c>
      <c r="N148" s="30">
        <v>23</v>
      </c>
      <c r="O148" s="30">
        <v>23</v>
      </c>
      <c r="P148" s="30">
        <v>23</v>
      </c>
      <c r="Q148" s="30">
        <v>23</v>
      </c>
      <c r="R148" s="30">
        <v>23</v>
      </c>
      <c r="S148" s="30">
        <v>23</v>
      </c>
      <c r="T148" s="30">
        <v>23</v>
      </c>
      <c r="U148" s="30">
        <v>23</v>
      </c>
      <c r="V148" s="30">
        <v>23</v>
      </c>
      <c r="W148" s="30">
        <v>23</v>
      </c>
      <c r="X148" s="30">
        <v>23</v>
      </c>
      <c r="Y148" s="30">
        <v>23</v>
      </c>
      <c r="Z148" s="30">
        <v>23</v>
      </c>
      <c r="AA148" s="30">
        <v>23</v>
      </c>
      <c r="AB148" s="30">
        <v>23</v>
      </c>
      <c r="AC148" s="30">
        <v>23</v>
      </c>
      <c r="AD148" s="30">
        <v>23</v>
      </c>
      <c r="AE148" s="30">
        <v>23</v>
      </c>
      <c r="AF148" s="30">
        <v>23</v>
      </c>
      <c r="AG148" s="30">
        <v>23</v>
      </c>
      <c r="AH148" s="30">
        <v>23</v>
      </c>
      <c r="AI148" s="30">
        <v>23</v>
      </c>
      <c r="AJ148" s="30">
        <v>23</v>
      </c>
    </row>
    <row r="149" spans="1:36" ht="80.099999999999994" customHeight="1">
      <c r="A149" s="127" t="s">
        <v>8</v>
      </c>
      <c r="B149" s="86" t="s">
        <v>1065</v>
      </c>
      <c r="C149" s="78" t="s">
        <v>367</v>
      </c>
      <c r="D149" s="58" t="s">
        <v>366</v>
      </c>
      <c r="E149" s="76">
        <v>8</v>
      </c>
      <c r="F149" s="77" t="s">
        <v>368</v>
      </c>
      <c r="G149" s="25"/>
      <c r="H149" s="25"/>
      <c r="J149" s="30">
        <f>10+1</f>
        <v>11</v>
      </c>
      <c r="K149" s="30">
        <v>10</v>
      </c>
      <c r="L149" s="30">
        <v>9</v>
      </c>
      <c r="M149" s="30">
        <v>8</v>
      </c>
      <c r="N149" s="30">
        <v>8</v>
      </c>
      <c r="O149" s="30">
        <v>8</v>
      </c>
      <c r="P149" s="30">
        <v>8</v>
      </c>
      <c r="Q149" s="30">
        <f>7</f>
        <v>7</v>
      </c>
      <c r="R149" s="30">
        <f>7+1</f>
        <v>8</v>
      </c>
      <c r="S149" s="30">
        <f>7+1</f>
        <v>8</v>
      </c>
      <c r="T149" s="30">
        <v>8</v>
      </c>
      <c r="U149" s="30">
        <v>7</v>
      </c>
      <c r="V149" s="30">
        <f>6+1</f>
        <v>7</v>
      </c>
      <c r="W149" s="30">
        <f>4</f>
        <v>4</v>
      </c>
      <c r="X149" s="30">
        <f>3</f>
        <v>3</v>
      </c>
      <c r="Y149" s="30">
        <f>3</f>
        <v>3</v>
      </c>
      <c r="Z149" s="30">
        <f>3+10</f>
        <v>13</v>
      </c>
      <c r="AA149" s="30">
        <f>10+0</f>
        <v>10</v>
      </c>
      <c r="AB149" s="30">
        <v>8</v>
      </c>
      <c r="AC149" s="30">
        <f>9+0</f>
        <v>9</v>
      </c>
      <c r="AD149" s="30">
        <f>6+1</f>
        <v>7</v>
      </c>
      <c r="AE149" s="30">
        <f>7+1</f>
        <v>8</v>
      </c>
      <c r="AF149" s="30">
        <f>6+1</f>
        <v>7</v>
      </c>
      <c r="AG149" s="30">
        <v>6</v>
      </c>
      <c r="AH149" s="30">
        <v>6</v>
      </c>
      <c r="AI149" s="30">
        <v>6</v>
      </c>
      <c r="AJ149" s="30">
        <f>4+1</f>
        <v>5</v>
      </c>
    </row>
    <row r="150" spans="1:36" ht="80.099999999999994" customHeight="1">
      <c r="A150" s="122" t="s">
        <v>8</v>
      </c>
      <c r="B150" s="74" t="s">
        <v>1064</v>
      </c>
      <c r="C150" s="78" t="s">
        <v>370</v>
      </c>
      <c r="D150" s="58" t="s">
        <v>369</v>
      </c>
      <c r="E150" s="76">
        <v>8</v>
      </c>
      <c r="F150" s="77" t="s">
        <v>371</v>
      </c>
      <c r="G150" s="25"/>
      <c r="H150" s="25"/>
      <c r="J150" s="30">
        <v>7</v>
      </c>
      <c r="K150" s="30">
        <v>7</v>
      </c>
      <c r="L150" s="30">
        <v>7</v>
      </c>
      <c r="M150" s="30">
        <v>7</v>
      </c>
      <c r="N150" s="30">
        <v>7</v>
      </c>
      <c r="O150" s="30">
        <v>7</v>
      </c>
      <c r="P150" s="30">
        <v>7</v>
      </c>
      <c r="Q150" s="30">
        <v>7</v>
      </c>
      <c r="R150" s="30">
        <v>7</v>
      </c>
      <c r="S150" s="30">
        <v>7</v>
      </c>
      <c r="T150" s="30">
        <v>7</v>
      </c>
      <c r="U150" s="30">
        <v>7</v>
      </c>
      <c r="V150" s="30">
        <v>7</v>
      </c>
      <c r="W150" s="30">
        <v>7</v>
      </c>
      <c r="X150" s="30">
        <v>7</v>
      </c>
      <c r="Y150" s="30">
        <v>7</v>
      </c>
      <c r="Z150" s="30">
        <v>7</v>
      </c>
      <c r="AA150" s="30">
        <v>7</v>
      </c>
      <c r="AB150" s="30">
        <v>7</v>
      </c>
      <c r="AC150" s="30">
        <v>7</v>
      </c>
      <c r="AD150" s="30">
        <v>7</v>
      </c>
      <c r="AE150" s="30">
        <v>7</v>
      </c>
      <c r="AF150" s="30">
        <v>7</v>
      </c>
      <c r="AG150" s="30">
        <v>7</v>
      </c>
      <c r="AH150" s="30">
        <v>7</v>
      </c>
      <c r="AI150" s="30">
        <v>7</v>
      </c>
      <c r="AJ150" s="30">
        <v>7</v>
      </c>
    </row>
    <row r="151" spans="1:36" ht="80.099999999999994" customHeight="1">
      <c r="A151" s="122" t="s">
        <v>8</v>
      </c>
      <c r="B151" s="74" t="s">
        <v>1059</v>
      </c>
      <c r="C151" s="78" t="s">
        <v>373</v>
      </c>
      <c r="D151" s="58" t="s">
        <v>372</v>
      </c>
      <c r="E151" s="76">
        <v>6</v>
      </c>
      <c r="F151" s="77" t="s">
        <v>374</v>
      </c>
      <c r="G151" s="25"/>
      <c r="H151" s="25"/>
      <c r="J151" s="30">
        <v>7</v>
      </c>
      <c r="K151" s="30">
        <v>7</v>
      </c>
      <c r="L151" s="30">
        <v>7</v>
      </c>
      <c r="M151" s="30">
        <v>7</v>
      </c>
      <c r="N151" s="30">
        <v>7</v>
      </c>
      <c r="O151" s="30">
        <v>7</v>
      </c>
      <c r="P151" s="30">
        <v>7</v>
      </c>
      <c r="Q151" s="30">
        <v>7</v>
      </c>
      <c r="R151" s="30">
        <v>7</v>
      </c>
      <c r="S151" s="30">
        <v>7</v>
      </c>
      <c r="T151" s="30">
        <v>7</v>
      </c>
      <c r="U151" s="30">
        <v>7</v>
      </c>
      <c r="V151" s="30">
        <v>7</v>
      </c>
      <c r="W151" s="30">
        <v>7</v>
      </c>
      <c r="X151" s="30">
        <v>7</v>
      </c>
      <c r="Y151" s="30">
        <v>7</v>
      </c>
      <c r="Z151" s="30">
        <v>7</v>
      </c>
      <c r="AA151" s="30">
        <v>7</v>
      </c>
      <c r="AB151" s="30">
        <v>7</v>
      </c>
      <c r="AC151" s="30">
        <v>7</v>
      </c>
      <c r="AD151" s="30">
        <v>7</v>
      </c>
      <c r="AE151" s="30">
        <v>7</v>
      </c>
      <c r="AF151" s="30">
        <v>7</v>
      </c>
      <c r="AG151" s="30">
        <v>7</v>
      </c>
      <c r="AH151" s="30">
        <v>7</v>
      </c>
      <c r="AI151" s="30">
        <v>7</v>
      </c>
      <c r="AJ151" s="30">
        <v>7</v>
      </c>
    </row>
    <row r="152" spans="1:36" ht="80.099999999999994" customHeight="1">
      <c r="A152" s="125" t="s">
        <v>17</v>
      </c>
      <c r="B152" s="79" t="s">
        <v>1060</v>
      </c>
      <c r="C152" s="78" t="s">
        <v>927</v>
      </c>
      <c r="D152" s="59" t="s">
        <v>375</v>
      </c>
      <c r="E152" s="76"/>
      <c r="F152" s="99" t="s">
        <v>376</v>
      </c>
      <c r="G152" s="25"/>
      <c r="H152" s="25"/>
      <c r="J152" s="30">
        <f>24+1</f>
        <v>25</v>
      </c>
      <c r="K152" s="30">
        <v>25</v>
      </c>
      <c r="L152" s="30">
        <v>24</v>
      </c>
      <c r="M152" s="30">
        <f>23+2</f>
        <v>25</v>
      </c>
      <c r="N152" s="30">
        <f>22+2</f>
        <v>24</v>
      </c>
      <c r="O152" s="30">
        <v>20</v>
      </c>
      <c r="P152" s="30">
        <v>20</v>
      </c>
      <c r="Q152" s="30">
        <f>17+10</f>
        <v>27</v>
      </c>
      <c r="R152" s="30">
        <v>25</v>
      </c>
      <c r="S152" s="30">
        <v>24</v>
      </c>
      <c r="T152" s="30">
        <f>22+25+2</f>
        <v>49</v>
      </c>
      <c r="U152" s="30">
        <f>22+25+1</f>
        <v>48</v>
      </c>
      <c r="V152" s="30">
        <f>45+2</f>
        <v>47</v>
      </c>
      <c r="W152" s="30">
        <f>40+1</f>
        <v>41</v>
      </c>
      <c r="X152" s="30">
        <v>37</v>
      </c>
      <c r="Y152" s="30">
        <v>37</v>
      </c>
      <c r="Z152" s="30">
        <f>35+1</f>
        <v>36</v>
      </c>
      <c r="AA152" s="30">
        <v>31</v>
      </c>
      <c r="AB152" s="30">
        <f>23+1</f>
        <v>24</v>
      </c>
      <c r="AC152" s="30">
        <v>20</v>
      </c>
      <c r="AD152" s="30">
        <f>17+1+25</f>
        <v>43</v>
      </c>
      <c r="AE152" s="30">
        <f>24+16</f>
        <v>40</v>
      </c>
      <c r="AF152" s="30">
        <f>28+5</f>
        <v>33</v>
      </c>
      <c r="AG152" s="30">
        <f>29+2</f>
        <v>31</v>
      </c>
      <c r="AH152" s="30">
        <f>25+4</f>
        <v>29</v>
      </c>
      <c r="AI152" s="30">
        <v>27</v>
      </c>
      <c r="AJ152" s="30">
        <f>22+1</f>
        <v>23</v>
      </c>
    </row>
    <row r="153" spans="1:36" ht="80.099999999999994" customHeight="1">
      <c r="A153" s="122" t="s">
        <v>32</v>
      </c>
      <c r="B153" s="74"/>
      <c r="C153" s="75" t="s">
        <v>379</v>
      </c>
      <c r="D153" s="58" t="s">
        <v>378</v>
      </c>
      <c r="E153" s="76"/>
      <c r="F153" s="77" t="s">
        <v>380</v>
      </c>
      <c r="G153" s="27" t="s">
        <v>381</v>
      </c>
      <c r="H153" s="27"/>
      <c r="J153" s="30">
        <v>1</v>
      </c>
      <c r="K153" s="30">
        <v>1</v>
      </c>
      <c r="L153" s="30">
        <v>1</v>
      </c>
      <c r="M153" s="30">
        <v>1</v>
      </c>
      <c r="N153" s="30">
        <f>1+1</f>
        <v>2</v>
      </c>
      <c r="O153" s="30">
        <f>1+1</f>
        <v>2</v>
      </c>
      <c r="P153" s="30">
        <v>2</v>
      </c>
      <c r="Q153" s="30">
        <v>2</v>
      </c>
      <c r="R153" s="30">
        <v>2</v>
      </c>
      <c r="S153" s="30">
        <v>2</v>
      </c>
      <c r="T153" s="30">
        <v>2</v>
      </c>
      <c r="U153" s="30">
        <v>2</v>
      </c>
      <c r="V153" s="30">
        <v>2</v>
      </c>
      <c r="W153" s="30">
        <v>2</v>
      </c>
      <c r="X153" s="30">
        <v>2</v>
      </c>
      <c r="Y153" s="30">
        <v>2</v>
      </c>
      <c r="Z153" s="30">
        <v>2</v>
      </c>
      <c r="AA153" s="30">
        <v>2</v>
      </c>
      <c r="AB153" s="30">
        <v>2</v>
      </c>
      <c r="AC153" s="30">
        <v>2</v>
      </c>
      <c r="AD153" s="30">
        <v>2</v>
      </c>
      <c r="AE153" s="30">
        <v>2</v>
      </c>
      <c r="AF153" s="30">
        <v>2</v>
      </c>
      <c r="AG153" s="30">
        <v>2</v>
      </c>
      <c r="AH153" s="30">
        <v>2</v>
      </c>
      <c r="AI153" s="30">
        <v>2</v>
      </c>
      <c r="AJ153" s="30">
        <v>2</v>
      </c>
    </row>
    <row r="154" spans="1:36" ht="80.099999999999994" customHeight="1">
      <c r="A154" s="131" t="s">
        <v>1406</v>
      </c>
      <c r="B154" s="101"/>
      <c r="C154" s="84" t="s">
        <v>383</v>
      </c>
      <c r="D154" s="64" t="s">
        <v>382</v>
      </c>
      <c r="E154" s="85"/>
      <c r="F154" s="77" t="s">
        <v>384</v>
      </c>
      <c r="G154" s="29"/>
      <c r="H154" s="29"/>
      <c r="J154" s="30">
        <f>39</f>
        <v>39</v>
      </c>
      <c r="K154" s="30">
        <f>37+2</f>
        <v>39</v>
      </c>
      <c r="L154" s="30">
        <v>38</v>
      </c>
      <c r="M154" s="30">
        <v>36</v>
      </c>
      <c r="N154" s="30">
        <f>35+20</f>
        <v>55</v>
      </c>
      <c r="O154" s="30">
        <f>34+20+3</f>
        <v>57</v>
      </c>
      <c r="P154" s="30">
        <f>34+20+2</f>
        <v>56</v>
      </c>
      <c r="Q154" s="30">
        <f>35+20+1</f>
        <v>56</v>
      </c>
      <c r="R154" s="30">
        <f>33+20</f>
        <v>53</v>
      </c>
      <c r="S154" s="30">
        <f>34+20</f>
        <v>54</v>
      </c>
      <c r="T154" s="30">
        <f>29+22</f>
        <v>51</v>
      </c>
      <c r="U154" s="30">
        <v>50</v>
      </c>
      <c r="V154" s="30">
        <f>46+2</f>
        <v>48</v>
      </c>
      <c r="W154" s="30">
        <f>43+2</f>
        <v>45</v>
      </c>
      <c r="X154" s="30">
        <f>38</f>
        <v>38</v>
      </c>
      <c r="Y154" s="30">
        <f>35+2</f>
        <v>37</v>
      </c>
      <c r="Z154" s="30">
        <f>37</f>
        <v>37</v>
      </c>
      <c r="AA154" s="30">
        <f>31+3</f>
        <v>34</v>
      </c>
      <c r="AB154" s="30">
        <v>34</v>
      </c>
      <c r="AC154" s="30">
        <f>33+1</f>
        <v>34</v>
      </c>
      <c r="AD154" s="30">
        <v>32</v>
      </c>
      <c r="AE154" s="30">
        <v>32</v>
      </c>
      <c r="AF154" s="30">
        <f>30+2</f>
        <v>32</v>
      </c>
      <c r="AG154" s="30">
        <v>31</v>
      </c>
      <c r="AH154" s="30">
        <v>32</v>
      </c>
      <c r="AI154" s="30">
        <f>29+1</f>
        <v>30</v>
      </c>
      <c r="AJ154" s="30">
        <f>28+2</f>
        <v>30</v>
      </c>
    </row>
    <row r="155" spans="1:36" ht="80.099999999999994" customHeight="1">
      <c r="A155" s="122" t="s">
        <v>1436</v>
      </c>
      <c r="B155" s="74" t="s">
        <v>1063</v>
      </c>
      <c r="C155" s="78" t="s">
        <v>1123</v>
      </c>
      <c r="D155" s="58" t="s">
        <v>385</v>
      </c>
      <c r="E155" s="76"/>
      <c r="F155" s="77" t="s">
        <v>386</v>
      </c>
      <c r="G155" s="25"/>
      <c r="H155" s="25"/>
      <c r="I155" s="23" t="s">
        <v>20</v>
      </c>
      <c r="J155" s="30">
        <v>17</v>
      </c>
      <c r="K155" s="30">
        <v>17</v>
      </c>
      <c r="L155" s="30">
        <v>17</v>
      </c>
      <c r="M155" s="30">
        <v>17</v>
      </c>
      <c r="N155" s="30">
        <v>17</v>
      </c>
      <c r="O155" s="30">
        <v>17</v>
      </c>
      <c r="P155" s="30">
        <v>17</v>
      </c>
      <c r="Q155" s="30">
        <v>17</v>
      </c>
      <c r="R155" s="30">
        <v>17</v>
      </c>
      <c r="S155" s="30">
        <v>17</v>
      </c>
      <c r="T155" s="30">
        <v>17</v>
      </c>
      <c r="U155" s="30">
        <v>17</v>
      </c>
      <c r="V155" s="30">
        <v>17</v>
      </c>
      <c r="W155" s="30">
        <v>17</v>
      </c>
      <c r="X155" s="30">
        <v>17</v>
      </c>
      <c r="Y155" s="30">
        <v>17</v>
      </c>
      <c r="Z155" s="30">
        <v>16</v>
      </c>
      <c r="AA155" s="30">
        <v>15</v>
      </c>
      <c r="AB155" s="30">
        <v>15</v>
      </c>
      <c r="AC155" s="30">
        <v>15</v>
      </c>
      <c r="AD155" s="30">
        <f>12+2</f>
        <v>14</v>
      </c>
      <c r="AE155" s="30">
        <v>10</v>
      </c>
      <c r="AF155" s="30">
        <v>10</v>
      </c>
      <c r="AG155" s="30">
        <v>10</v>
      </c>
      <c r="AH155" s="30">
        <v>10</v>
      </c>
      <c r="AI155" s="30">
        <v>10</v>
      </c>
      <c r="AJ155" s="30">
        <v>10</v>
      </c>
    </row>
    <row r="156" spans="1:36" ht="80.099999999999994" customHeight="1">
      <c r="A156" s="122" t="s">
        <v>17</v>
      </c>
      <c r="B156" s="74" t="s">
        <v>1070</v>
      </c>
      <c r="C156" s="75" t="s">
        <v>1264</v>
      </c>
      <c r="D156" s="58" t="s">
        <v>387</v>
      </c>
      <c r="E156" s="76"/>
      <c r="F156" s="77" t="s">
        <v>388</v>
      </c>
      <c r="G156" s="27" t="s">
        <v>129</v>
      </c>
      <c r="H156" s="27"/>
      <c r="J156" s="30">
        <v>1</v>
      </c>
      <c r="K156" s="30">
        <f>0</f>
        <v>0</v>
      </c>
      <c r="L156" s="30">
        <f>0</f>
        <v>0</v>
      </c>
      <c r="M156" s="30">
        <v>1</v>
      </c>
      <c r="N156" s="30">
        <f>1+5</f>
        <v>6</v>
      </c>
      <c r="O156" s="30">
        <f>1+5</f>
        <v>6</v>
      </c>
      <c r="P156" s="30">
        <f>1+5</f>
        <v>6</v>
      </c>
      <c r="Q156" s="30">
        <f>1+5</f>
        <v>6</v>
      </c>
      <c r="R156" s="30">
        <f>2+4</f>
        <v>6</v>
      </c>
      <c r="S156" s="30">
        <f>1+4</f>
        <v>5</v>
      </c>
      <c r="T156" s="30">
        <v>5</v>
      </c>
      <c r="U156" s="30">
        <v>4</v>
      </c>
      <c r="V156" s="30">
        <f>4+5</f>
        <v>9</v>
      </c>
      <c r="W156" s="30">
        <f>8+2</f>
        <v>10</v>
      </c>
      <c r="X156" s="30">
        <f>6+1</f>
        <v>7</v>
      </c>
      <c r="Y156" s="30">
        <v>7</v>
      </c>
      <c r="Z156" s="30">
        <f>7+8</f>
        <v>15</v>
      </c>
      <c r="AA156" s="30">
        <v>15</v>
      </c>
      <c r="AB156" s="30">
        <v>13</v>
      </c>
      <c r="AC156" s="30">
        <v>11</v>
      </c>
      <c r="AD156" s="30">
        <v>11</v>
      </c>
      <c r="AE156" s="30">
        <v>11</v>
      </c>
      <c r="AF156" s="30">
        <v>11</v>
      </c>
      <c r="AG156" s="30">
        <v>9</v>
      </c>
      <c r="AH156" s="30">
        <v>9</v>
      </c>
      <c r="AI156" s="30">
        <v>9</v>
      </c>
      <c r="AJ156" s="30">
        <f>7+1</f>
        <v>8</v>
      </c>
    </row>
    <row r="157" spans="1:36" ht="80.099999999999994" customHeight="1">
      <c r="A157" s="127" t="s">
        <v>1404</v>
      </c>
      <c r="B157" s="86"/>
      <c r="C157" s="78" t="s">
        <v>390</v>
      </c>
      <c r="D157" s="60" t="s">
        <v>389</v>
      </c>
      <c r="E157" s="76"/>
      <c r="F157" s="82" t="s">
        <v>391</v>
      </c>
      <c r="G157" s="25"/>
      <c r="H157" s="25"/>
      <c r="I157" s="30"/>
      <c r="J157" s="30">
        <v>3</v>
      </c>
      <c r="K157" s="30">
        <v>3</v>
      </c>
      <c r="L157" s="30">
        <v>3</v>
      </c>
      <c r="M157" s="30">
        <v>3</v>
      </c>
      <c r="N157" s="30">
        <v>3</v>
      </c>
      <c r="O157" s="30">
        <v>3</v>
      </c>
      <c r="P157" s="30">
        <v>3</v>
      </c>
      <c r="Q157" s="30">
        <v>3</v>
      </c>
      <c r="R157" s="30">
        <v>3</v>
      </c>
      <c r="S157" s="30">
        <v>3</v>
      </c>
      <c r="T157" s="30">
        <v>3</v>
      </c>
      <c r="U157" s="30">
        <v>3</v>
      </c>
      <c r="V157" s="30">
        <v>3</v>
      </c>
      <c r="W157" s="30">
        <v>3</v>
      </c>
      <c r="X157" s="30">
        <v>2</v>
      </c>
      <c r="Y157" s="30">
        <v>3</v>
      </c>
      <c r="Z157" s="30">
        <v>3</v>
      </c>
      <c r="AA157" s="30">
        <v>3</v>
      </c>
      <c r="AB157" s="30">
        <v>3</v>
      </c>
      <c r="AC157" s="30">
        <v>3</v>
      </c>
      <c r="AD157" s="30">
        <v>2</v>
      </c>
      <c r="AE157" s="30">
        <v>2</v>
      </c>
      <c r="AF157" s="30">
        <v>2</v>
      </c>
      <c r="AG157" s="30">
        <v>2</v>
      </c>
      <c r="AH157" s="30">
        <v>2</v>
      </c>
      <c r="AI157" s="30">
        <v>2</v>
      </c>
      <c r="AJ157" s="30">
        <v>2</v>
      </c>
    </row>
    <row r="158" spans="1:36" ht="80.099999999999994" customHeight="1">
      <c r="A158" s="122" t="s">
        <v>8</v>
      </c>
      <c r="B158" s="74" t="s">
        <v>1054</v>
      </c>
      <c r="C158" s="78" t="s">
        <v>393</v>
      </c>
      <c r="D158" s="58" t="s">
        <v>392</v>
      </c>
      <c r="E158" s="76">
        <v>7</v>
      </c>
      <c r="F158" s="77" t="s">
        <v>394</v>
      </c>
      <c r="G158" s="25"/>
      <c r="H158" s="25"/>
      <c r="J158" s="30">
        <v>2</v>
      </c>
      <c r="K158" s="30">
        <v>2</v>
      </c>
      <c r="L158" s="30">
        <v>2</v>
      </c>
      <c r="M158" s="30">
        <v>2</v>
      </c>
      <c r="N158" s="30">
        <v>2</v>
      </c>
      <c r="O158" s="30">
        <v>3</v>
      </c>
      <c r="P158" s="30">
        <v>3</v>
      </c>
      <c r="Q158" s="30">
        <v>3</v>
      </c>
      <c r="R158" s="30">
        <v>3</v>
      </c>
      <c r="S158" s="30">
        <v>3</v>
      </c>
      <c r="T158" s="30">
        <v>3</v>
      </c>
      <c r="U158" s="30">
        <v>4</v>
      </c>
      <c r="V158" s="30">
        <v>4</v>
      </c>
      <c r="W158" s="30">
        <v>4</v>
      </c>
      <c r="X158" s="30">
        <v>4</v>
      </c>
      <c r="Y158" s="30">
        <v>4</v>
      </c>
      <c r="Z158" s="30">
        <v>4</v>
      </c>
      <c r="AA158" s="30">
        <v>4</v>
      </c>
      <c r="AB158" s="30">
        <v>4</v>
      </c>
      <c r="AC158" s="30">
        <v>4</v>
      </c>
      <c r="AD158" s="30">
        <v>4</v>
      </c>
      <c r="AE158" s="30">
        <v>4</v>
      </c>
      <c r="AF158" s="30">
        <v>4</v>
      </c>
      <c r="AG158" s="30">
        <v>4</v>
      </c>
      <c r="AH158" s="30">
        <v>4</v>
      </c>
      <c r="AI158" s="30">
        <v>4</v>
      </c>
      <c r="AJ158" s="30">
        <v>4</v>
      </c>
    </row>
    <row r="159" spans="1:36" ht="80.099999999999994" customHeight="1">
      <c r="A159" s="127" t="s">
        <v>1405</v>
      </c>
      <c r="B159" s="86" t="s">
        <v>1054</v>
      </c>
      <c r="C159" s="78" t="s">
        <v>928</v>
      </c>
      <c r="D159" s="58" t="s">
        <v>395</v>
      </c>
      <c r="E159" s="76"/>
      <c r="F159" s="77" t="s">
        <v>396</v>
      </c>
      <c r="G159" s="25"/>
      <c r="H159" s="25"/>
      <c r="J159" s="39">
        <f>0+238</f>
        <v>238</v>
      </c>
      <c r="K159" s="39">
        <f>0+238</f>
        <v>238</v>
      </c>
      <c r="L159" s="39">
        <f>0+1</f>
        <v>1</v>
      </c>
      <c r="M159" s="39">
        <f>0+159</f>
        <v>159</v>
      </c>
      <c r="N159" s="37">
        <f>0+150+136</f>
        <v>286</v>
      </c>
      <c r="O159" s="37">
        <f>0+150+119</f>
        <v>269</v>
      </c>
      <c r="P159" s="37">
        <f>0+150+112</f>
        <v>262</v>
      </c>
      <c r="Q159" s="37">
        <f>0+150+87</f>
        <v>237</v>
      </c>
      <c r="R159" s="37">
        <f>0+212</f>
        <v>212</v>
      </c>
      <c r="S159" s="37">
        <f>0+195</f>
        <v>195</v>
      </c>
      <c r="T159" s="37">
        <f>0+200+179</f>
        <v>379</v>
      </c>
      <c r="U159" s="37">
        <f>0+200+176</f>
        <v>376</v>
      </c>
      <c r="V159" s="37">
        <f>103+200+19</f>
        <v>322</v>
      </c>
      <c r="W159" s="37">
        <f>189+100+29</f>
        <v>318</v>
      </c>
      <c r="X159" s="37">
        <f>186+109</f>
        <v>295</v>
      </c>
      <c r="Y159" s="37">
        <f>261+20</f>
        <v>281</v>
      </c>
      <c r="Z159" s="37">
        <f>245+15</f>
        <v>260</v>
      </c>
      <c r="AA159" s="37">
        <f>207+19</f>
        <v>226</v>
      </c>
      <c r="AB159" s="37">
        <f>203+11</f>
        <v>214</v>
      </c>
      <c r="AC159" s="37">
        <f>178+5</f>
        <v>183</v>
      </c>
      <c r="AD159" s="37">
        <f>152+6+50</f>
        <v>208</v>
      </c>
      <c r="AE159" s="37">
        <f>167+31</f>
        <v>198</v>
      </c>
      <c r="AF159" s="37">
        <f>168+9</f>
        <v>177</v>
      </c>
      <c r="AG159" s="37">
        <f>157+8</f>
        <v>165</v>
      </c>
      <c r="AH159" s="37">
        <f>134+22</f>
        <v>156</v>
      </c>
      <c r="AI159" s="37">
        <f>147+5</f>
        <v>152</v>
      </c>
      <c r="AJ159" s="37">
        <f>141+7</f>
        <v>148</v>
      </c>
    </row>
    <row r="160" spans="1:36" ht="80.099999999999994" customHeight="1">
      <c r="A160" s="127" t="s">
        <v>1405</v>
      </c>
      <c r="B160" s="86" t="s">
        <v>1054</v>
      </c>
      <c r="C160" s="78" t="s">
        <v>1028</v>
      </c>
      <c r="D160" s="58" t="s">
        <v>1033</v>
      </c>
      <c r="E160" s="76"/>
      <c r="F160" s="81" t="s">
        <v>1085</v>
      </c>
      <c r="G160" s="29"/>
      <c r="H160" s="25"/>
      <c r="J160" s="39"/>
      <c r="K160" s="39"/>
      <c r="L160" s="39"/>
      <c r="M160" s="39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>
        <f>0+5</f>
        <v>5</v>
      </c>
      <c r="AF160" s="37">
        <f>2</f>
        <v>2</v>
      </c>
      <c r="AG160" s="37">
        <f>0+10+1</f>
        <v>11</v>
      </c>
      <c r="AH160" s="37">
        <v>10</v>
      </c>
      <c r="AI160" s="37">
        <v>10</v>
      </c>
      <c r="AJ160" s="37">
        <v>10</v>
      </c>
    </row>
    <row r="161" spans="1:69" ht="80.099999999999994" customHeight="1">
      <c r="A161" s="127" t="s">
        <v>1405</v>
      </c>
      <c r="B161" s="86" t="s">
        <v>1054</v>
      </c>
      <c r="C161" s="78" t="s">
        <v>1029</v>
      </c>
      <c r="D161" s="108" t="s">
        <v>1076</v>
      </c>
      <c r="E161" s="76"/>
      <c r="F161" s="81" t="s">
        <v>1086</v>
      </c>
      <c r="G161" s="29"/>
      <c r="H161" s="25"/>
      <c r="J161" s="39"/>
      <c r="K161" s="39"/>
      <c r="L161" s="39"/>
      <c r="M161" s="39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>
        <f>0+5</f>
        <v>5</v>
      </c>
      <c r="AF161" s="37">
        <v>5</v>
      </c>
      <c r="AG161" s="37">
        <v>4</v>
      </c>
      <c r="AH161" s="37">
        <v>4</v>
      </c>
      <c r="AI161" s="37">
        <f>4+1</f>
        <v>5</v>
      </c>
      <c r="AJ161" s="37">
        <f>2+0</f>
        <v>2</v>
      </c>
    </row>
    <row r="162" spans="1:69" ht="80.099999999999994" customHeight="1">
      <c r="A162" s="127" t="s">
        <v>1405</v>
      </c>
      <c r="B162" s="86" t="s">
        <v>1054</v>
      </c>
      <c r="C162" s="78" t="s">
        <v>1030</v>
      </c>
      <c r="D162" s="58" t="s">
        <v>1034</v>
      </c>
      <c r="E162" s="76"/>
      <c r="F162" s="81" t="s">
        <v>1087</v>
      </c>
      <c r="G162" s="29"/>
      <c r="H162" s="25"/>
      <c r="J162" s="39"/>
      <c r="K162" s="39"/>
      <c r="L162" s="39"/>
      <c r="M162" s="39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>
        <f>0+30</f>
        <v>30</v>
      </c>
      <c r="AF162" s="37">
        <f>28</f>
        <v>28</v>
      </c>
      <c r="AG162" s="37">
        <v>27</v>
      </c>
      <c r="AH162" s="37">
        <f>25+1</f>
        <v>26</v>
      </c>
      <c r="AI162" s="37">
        <f>24+1</f>
        <v>25</v>
      </c>
      <c r="AJ162" s="37">
        <f>24+1</f>
        <v>25</v>
      </c>
    </row>
    <row r="163" spans="1:69" ht="80.099999999999994" customHeight="1">
      <c r="A163" s="127" t="s">
        <v>1405</v>
      </c>
      <c r="B163" s="86" t="s">
        <v>1054</v>
      </c>
      <c r="C163" s="78" t="s">
        <v>1031</v>
      </c>
      <c r="D163" s="58" t="s">
        <v>1032</v>
      </c>
      <c r="E163" s="76"/>
      <c r="F163" s="81" t="s">
        <v>1088</v>
      </c>
      <c r="G163" s="25"/>
      <c r="H163" s="25"/>
      <c r="J163" s="39"/>
      <c r="K163" s="39"/>
      <c r="L163" s="39"/>
      <c r="M163" s="39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>
        <f>0+5</f>
        <v>5</v>
      </c>
      <c r="AF163" s="37">
        <v>0</v>
      </c>
      <c r="AG163" s="37">
        <f>0+23</f>
        <v>23</v>
      </c>
      <c r="AH163" s="37">
        <v>19</v>
      </c>
      <c r="AI163" s="37">
        <f>17+1</f>
        <v>18</v>
      </c>
      <c r="AJ163" s="37">
        <f>10+1</f>
        <v>11</v>
      </c>
    </row>
    <row r="164" spans="1:69" ht="80.099999999999994" customHeight="1">
      <c r="A164" s="90" t="s">
        <v>1436</v>
      </c>
      <c r="B164" s="88" t="s">
        <v>1054</v>
      </c>
      <c r="C164" s="78" t="s">
        <v>398</v>
      </c>
      <c r="D164" s="58" t="s">
        <v>397</v>
      </c>
      <c r="E164" s="89"/>
      <c r="F164" s="77" t="s">
        <v>399</v>
      </c>
      <c r="G164" s="25"/>
      <c r="H164" s="25"/>
      <c r="J164" s="32">
        <v>0</v>
      </c>
      <c r="K164" s="32">
        <v>0</v>
      </c>
      <c r="L164" s="32">
        <v>0</v>
      </c>
      <c r="M164" s="32">
        <v>0</v>
      </c>
      <c r="N164" s="30">
        <f>0+2</f>
        <v>2</v>
      </c>
      <c r="O164" s="30">
        <f>0+2</f>
        <v>2</v>
      </c>
      <c r="P164" s="30">
        <f>0+2</f>
        <v>2</v>
      </c>
      <c r="Q164" s="30">
        <f>0+2</f>
        <v>2</v>
      </c>
      <c r="R164" s="30">
        <f>0+2</f>
        <v>2</v>
      </c>
      <c r="S164" s="30">
        <f>0+2</f>
        <v>2</v>
      </c>
      <c r="T164" s="30">
        <v>1</v>
      </c>
      <c r="U164" s="30">
        <v>1</v>
      </c>
      <c r="V164" s="30">
        <f>1+3</f>
        <v>4</v>
      </c>
      <c r="W164" s="30">
        <v>4</v>
      </c>
      <c r="X164" s="30">
        <v>4</v>
      </c>
      <c r="Y164" s="30">
        <v>4</v>
      </c>
      <c r="Z164" s="30">
        <v>4</v>
      </c>
      <c r="AA164" s="30">
        <v>4</v>
      </c>
      <c r="AB164" s="30">
        <v>4</v>
      </c>
      <c r="AC164" s="30">
        <v>4</v>
      </c>
      <c r="AD164" s="30">
        <v>4</v>
      </c>
      <c r="AE164" s="30">
        <f>2+1</f>
        <v>3</v>
      </c>
      <c r="AF164" s="30">
        <v>2</v>
      </c>
      <c r="AG164" s="30">
        <v>2</v>
      </c>
      <c r="AH164" s="30">
        <v>2</v>
      </c>
      <c r="AI164" s="30">
        <v>1</v>
      </c>
      <c r="AJ164" s="30">
        <f>0+3</f>
        <v>3</v>
      </c>
    </row>
    <row r="165" spans="1:69" ht="80.099999999999994" customHeight="1">
      <c r="A165" s="122" t="s">
        <v>1436</v>
      </c>
      <c r="B165" s="74"/>
      <c r="C165" s="75" t="s">
        <v>1151</v>
      </c>
      <c r="D165" s="56" t="s">
        <v>1150</v>
      </c>
      <c r="E165" s="80"/>
      <c r="F165" s="81" t="s">
        <v>1190</v>
      </c>
      <c r="G165" s="23"/>
      <c r="H165" s="25"/>
      <c r="I165" s="49"/>
      <c r="AI165" s="30">
        <v>0</v>
      </c>
      <c r="AJ165" s="30">
        <f>0+5</f>
        <v>5</v>
      </c>
    </row>
    <row r="166" spans="1:69" ht="80.099999999999994" customHeight="1">
      <c r="A166" s="125" t="s">
        <v>1439</v>
      </c>
      <c r="B166" s="79" t="s">
        <v>1061</v>
      </c>
      <c r="C166" s="75" t="s">
        <v>929</v>
      </c>
      <c r="D166" s="58" t="s">
        <v>400</v>
      </c>
      <c r="E166" s="76"/>
      <c r="F166" s="99" t="s">
        <v>401</v>
      </c>
      <c r="G166" s="25"/>
      <c r="H166" s="25"/>
      <c r="J166" s="32">
        <f>0+1</f>
        <v>1</v>
      </c>
      <c r="K166" s="32">
        <f>0+1</f>
        <v>1</v>
      </c>
      <c r="L166" s="32">
        <v>0</v>
      </c>
      <c r="M166" s="32">
        <v>0</v>
      </c>
      <c r="N166" s="30">
        <f>0+10</f>
        <v>10</v>
      </c>
      <c r="O166" s="30">
        <f>0+10</f>
        <v>10</v>
      </c>
      <c r="P166" s="30">
        <f>0+10</f>
        <v>10</v>
      </c>
      <c r="Q166" s="30">
        <f>0+10</f>
        <v>10</v>
      </c>
      <c r="R166" s="30">
        <f>0+8</f>
        <v>8</v>
      </c>
      <c r="S166" s="30">
        <f>0+7</f>
        <v>7</v>
      </c>
      <c r="T166" s="30">
        <f>2+10+5</f>
        <v>17</v>
      </c>
      <c r="U166" s="30">
        <f>4+10+1</f>
        <v>15</v>
      </c>
      <c r="V166" s="30">
        <f>5+10+1</f>
        <v>16</v>
      </c>
      <c r="W166" s="30">
        <f>12+1</f>
        <v>13</v>
      </c>
      <c r="X166" s="30">
        <f>10+2</f>
        <v>12</v>
      </c>
      <c r="Y166" s="30">
        <f>9+3</f>
        <v>12</v>
      </c>
      <c r="Z166" s="30">
        <f>11+1</f>
        <v>12</v>
      </c>
      <c r="AA166" s="30">
        <f>11+1</f>
        <v>12</v>
      </c>
      <c r="AB166" s="30">
        <v>12</v>
      </c>
      <c r="AC166" s="30">
        <f>9+1</f>
        <v>10</v>
      </c>
      <c r="AD166" s="30">
        <v>7</v>
      </c>
      <c r="AE166" s="30">
        <f>5+10</f>
        <v>15</v>
      </c>
      <c r="AF166" s="30">
        <f>3+8+1</f>
        <v>12</v>
      </c>
      <c r="AG166" s="30">
        <f>2+4+7</f>
        <v>13</v>
      </c>
      <c r="AH166" s="30">
        <f>3+4+3</f>
        <v>10</v>
      </c>
      <c r="AI166" s="30">
        <f>8+2</f>
        <v>10</v>
      </c>
      <c r="AJ166" s="30">
        <f>7+2</f>
        <v>9</v>
      </c>
    </row>
    <row r="167" spans="1:69" ht="80.099999999999994" customHeight="1">
      <c r="A167" s="122" t="s">
        <v>8</v>
      </c>
      <c r="B167" s="74" t="s">
        <v>1413</v>
      </c>
      <c r="C167" s="78" t="s">
        <v>403</v>
      </c>
      <c r="D167" s="58" t="s">
        <v>402</v>
      </c>
      <c r="E167" s="76">
        <v>8</v>
      </c>
      <c r="F167" s="77" t="s">
        <v>404</v>
      </c>
      <c r="G167" s="25"/>
      <c r="H167" s="25"/>
      <c r="J167" s="30">
        <v>5</v>
      </c>
      <c r="K167" s="30">
        <v>5</v>
      </c>
      <c r="L167" s="30">
        <v>5</v>
      </c>
      <c r="M167" s="30">
        <v>5</v>
      </c>
      <c r="N167" s="30">
        <v>5</v>
      </c>
      <c r="O167" s="30">
        <v>5</v>
      </c>
      <c r="P167" s="30">
        <v>5</v>
      </c>
      <c r="Q167" s="30">
        <v>5</v>
      </c>
      <c r="R167" s="30">
        <v>5</v>
      </c>
      <c r="S167" s="30">
        <v>5</v>
      </c>
      <c r="T167" s="30">
        <v>5</v>
      </c>
      <c r="U167" s="30">
        <v>5</v>
      </c>
      <c r="V167" s="30">
        <v>5</v>
      </c>
      <c r="W167" s="30">
        <v>5</v>
      </c>
      <c r="X167" s="30">
        <v>5</v>
      </c>
      <c r="Y167" s="30">
        <v>5</v>
      </c>
      <c r="Z167" s="30">
        <v>5</v>
      </c>
      <c r="AA167" s="30">
        <v>5</v>
      </c>
      <c r="AB167" s="30">
        <v>5</v>
      </c>
      <c r="AC167" s="30">
        <v>5</v>
      </c>
      <c r="AD167" s="30">
        <v>5</v>
      </c>
      <c r="AE167" s="30">
        <v>5</v>
      </c>
      <c r="AF167" s="30">
        <v>5</v>
      </c>
      <c r="AG167" s="30">
        <v>5</v>
      </c>
      <c r="AH167" s="30">
        <v>5</v>
      </c>
      <c r="AI167" s="30">
        <v>5</v>
      </c>
      <c r="AJ167" s="30">
        <v>5</v>
      </c>
    </row>
    <row r="168" spans="1:69" s="32" customFormat="1" ht="80.099999999999994" customHeight="1">
      <c r="A168" s="122" t="s">
        <v>8</v>
      </c>
      <c r="B168" s="74" t="s">
        <v>1054</v>
      </c>
      <c r="C168" s="78" t="s">
        <v>406</v>
      </c>
      <c r="D168" s="58" t="s">
        <v>405</v>
      </c>
      <c r="E168" s="76">
        <v>7</v>
      </c>
      <c r="F168" s="77" t="s">
        <v>407</v>
      </c>
      <c r="G168" s="25"/>
      <c r="H168" s="25"/>
      <c r="I168" s="23"/>
      <c r="J168" s="30">
        <v>3</v>
      </c>
      <c r="K168" s="30">
        <v>3</v>
      </c>
      <c r="L168" s="30">
        <v>3</v>
      </c>
      <c r="M168" s="30">
        <v>3</v>
      </c>
      <c r="N168" s="30">
        <v>3</v>
      </c>
      <c r="O168" s="30">
        <v>3</v>
      </c>
      <c r="P168" s="30">
        <v>3</v>
      </c>
      <c r="Q168" s="30">
        <v>3</v>
      </c>
      <c r="R168" s="30">
        <v>3</v>
      </c>
      <c r="S168" s="30">
        <v>5</v>
      </c>
      <c r="T168" s="30">
        <v>3</v>
      </c>
      <c r="U168" s="30">
        <v>3</v>
      </c>
      <c r="V168" s="30">
        <v>3</v>
      </c>
      <c r="W168" s="30">
        <v>3</v>
      </c>
      <c r="X168" s="30">
        <v>3</v>
      </c>
      <c r="Y168" s="30">
        <v>3</v>
      </c>
      <c r="Z168" s="30">
        <v>3</v>
      </c>
      <c r="AA168" s="30">
        <v>3</v>
      </c>
      <c r="AB168" s="30">
        <v>3</v>
      </c>
      <c r="AC168" s="30">
        <v>3</v>
      </c>
      <c r="AD168" s="30">
        <v>3</v>
      </c>
      <c r="AE168" s="30">
        <v>3</v>
      </c>
      <c r="AF168" s="30">
        <v>3</v>
      </c>
      <c r="AG168" s="30">
        <v>3</v>
      </c>
      <c r="AH168" s="30">
        <v>3</v>
      </c>
      <c r="AI168" s="30">
        <v>3</v>
      </c>
      <c r="AJ168" s="30">
        <v>3</v>
      </c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</row>
    <row r="169" spans="1:69" ht="80.099999999999994" customHeight="1">
      <c r="A169" s="122" t="s">
        <v>1405</v>
      </c>
      <c r="B169" s="74" t="s">
        <v>1054</v>
      </c>
      <c r="C169" s="75" t="s">
        <v>1005</v>
      </c>
      <c r="D169" s="65" t="s">
        <v>408</v>
      </c>
      <c r="E169" s="76"/>
      <c r="F169" s="77" t="s">
        <v>409</v>
      </c>
      <c r="G169" s="27" t="s">
        <v>24</v>
      </c>
      <c r="H169" s="27"/>
      <c r="J169" s="30">
        <f>0+200</f>
        <v>200</v>
      </c>
      <c r="K169" s="30">
        <f>0+200</f>
        <v>200</v>
      </c>
      <c r="L169" s="30">
        <v>0</v>
      </c>
      <c r="M169" s="30">
        <f>0+134</f>
        <v>134</v>
      </c>
      <c r="N169" s="30">
        <f>0+100+130</f>
        <v>230</v>
      </c>
      <c r="O169" s="30">
        <f>0+100+105</f>
        <v>205</v>
      </c>
      <c r="P169" s="30">
        <f>0+100+94</f>
        <v>194</v>
      </c>
      <c r="Q169" s="30">
        <f>0+100+91</f>
        <v>191</v>
      </c>
      <c r="R169" s="30">
        <f>0+175</f>
        <v>175</v>
      </c>
      <c r="S169" s="30">
        <f>0+159</f>
        <v>159</v>
      </c>
      <c r="T169" s="30">
        <f>0+141</f>
        <v>141</v>
      </c>
      <c r="U169" s="30">
        <f>0+117</f>
        <v>117</v>
      </c>
      <c r="V169" s="30">
        <f>106+100+4</f>
        <v>210</v>
      </c>
      <c r="W169" s="30">
        <f>149+7</f>
        <v>156</v>
      </c>
      <c r="X169" s="30">
        <f>136+3</f>
        <v>139</v>
      </c>
      <c r="Y169" s="30">
        <f>122+9</f>
        <v>131</v>
      </c>
      <c r="Z169" s="30">
        <f>115+100+10</f>
        <v>225</v>
      </c>
      <c r="AA169" s="30">
        <f>93+108</f>
        <v>201</v>
      </c>
      <c r="AB169" s="30">
        <f>123+55</f>
        <v>178</v>
      </c>
      <c r="AC169" s="30">
        <f>144+6</f>
        <v>150</v>
      </c>
      <c r="AD169" s="30">
        <f>121+5+50</f>
        <v>176</v>
      </c>
      <c r="AE169" s="30">
        <f>116+35</f>
        <v>151</v>
      </c>
      <c r="AF169" s="30">
        <f>105+14</f>
        <v>119</v>
      </c>
      <c r="AG169" s="30">
        <f>95+50+5</f>
        <v>150</v>
      </c>
      <c r="AH169" s="30">
        <f>83+50+3</f>
        <v>136</v>
      </c>
      <c r="AI169" s="30">
        <f>76+55</f>
        <v>131</v>
      </c>
      <c r="AJ169" s="30">
        <f>67+53</f>
        <v>120</v>
      </c>
    </row>
    <row r="170" spans="1:69" s="32" customFormat="1" ht="80.099999999999994" customHeight="1">
      <c r="A170" s="122" t="s">
        <v>3</v>
      </c>
      <c r="B170" s="74"/>
      <c r="C170" s="75" t="s">
        <v>411</v>
      </c>
      <c r="D170" s="58" t="s">
        <v>410</v>
      </c>
      <c r="E170" s="76"/>
      <c r="F170" s="77" t="s">
        <v>412</v>
      </c>
      <c r="G170" s="25"/>
      <c r="H170" s="25"/>
      <c r="I170" s="23"/>
      <c r="J170" s="30">
        <v>1</v>
      </c>
      <c r="K170" s="30">
        <v>1</v>
      </c>
      <c r="L170" s="30">
        <v>1</v>
      </c>
      <c r="M170" s="30">
        <v>1</v>
      </c>
      <c r="N170" s="30">
        <v>1</v>
      </c>
      <c r="O170" s="30">
        <v>1</v>
      </c>
      <c r="P170" s="30">
        <v>1</v>
      </c>
      <c r="Q170" s="30">
        <v>1</v>
      </c>
      <c r="R170" s="30">
        <v>1</v>
      </c>
      <c r="S170" s="30">
        <v>1</v>
      </c>
      <c r="T170" s="30">
        <v>1</v>
      </c>
      <c r="U170" s="30">
        <v>1</v>
      </c>
      <c r="V170" s="30">
        <v>1</v>
      </c>
      <c r="W170" s="30">
        <v>1</v>
      </c>
      <c r="X170" s="30">
        <v>1</v>
      </c>
      <c r="Y170" s="30">
        <v>1</v>
      </c>
      <c r="Z170" s="30">
        <v>1</v>
      </c>
      <c r="AA170" s="30">
        <v>1</v>
      </c>
      <c r="AB170" s="30">
        <v>1</v>
      </c>
      <c r="AC170" s="30">
        <v>1</v>
      </c>
      <c r="AD170" s="30">
        <v>1</v>
      </c>
      <c r="AE170" s="30">
        <v>1</v>
      </c>
      <c r="AF170" s="30">
        <v>1</v>
      </c>
      <c r="AG170" s="30">
        <v>1</v>
      </c>
      <c r="AH170" s="30">
        <v>1</v>
      </c>
      <c r="AI170" s="30">
        <v>1</v>
      </c>
      <c r="AJ170" s="30">
        <f>1+5</f>
        <v>6</v>
      </c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</row>
    <row r="171" spans="1:69" ht="80.099999999999994" customHeight="1">
      <c r="A171" s="122" t="s">
        <v>8</v>
      </c>
      <c r="B171" s="74" t="s">
        <v>1062</v>
      </c>
      <c r="C171" s="78" t="s">
        <v>414</v>
      </c>
      <c r="D171" s="58" t="s">
        <v>413</v>
      </c>
      <c r="E171" s="76">
        <v>7</v>
      </c>
      <c r="F171" s="77" t="s">
        <v>415</v>
      </c>
      <c r="G171" s="25"/>
      <c r="H171" s="25"/>
      <c r="J171" s="30">
        <v>2</v>
      </c>
      <c r="K171" s="30">
        <v>2</v>
      </c>
      <c r="L171" s="30">
        <v>2</v>
      </c>
      <c r="M171" s="30">
        <v>2</v>
      </c>
      <c r="N171" s="30">
        <v>2</v>
      </c>
      <c r="O171" s="30">
        <v>2</v>
      </c>
      <c r="P171" s="30">
        <v>2</v>
      </c>
      <c r="Q171" s="30">
        <v>2</v>
      </c>
      <c r="R171" s="30">
        <v>2</v>
      </c>
      <c r="S171" s="30">
        <v>2</v>
      </c>
      <c r="T171" s="30">
        <v>2</v>
      </c>
      <c r="U171" s="30">
        <v>2</v>
      </c>
      <c r="V171" s="30">
        <v>2</v>
      </c>
      <c r="W171" s="30">
        <v>2</v>
      </c>
      <c r="X171" s="30">
        <v>2</v>
      </c>
      <c r="Y171" s="30">
        <v>2</v>
      </c>
      <c r="Z171" s="30">
        <v>2</v>
      </c>
      <c r="AA171" s="30">
        <v>2</v>
      </c>
      <c r="AB171" s="30">
        <v>2</v>
      </c>
      <c r="AC171" s="30">
        <v>2</v>
      </c>
      <c r="AD171" s="30">
        <v>2</v>
      </c>
      <c r="AE171" s="30">
        <v>2</v>
      </c>
      <c r="AF171" s="30">
        <v>2</v>
      </c>
      <c r="AG171" s="30">
        <v>2</v>
      </c>
      <c r="AH171" s="30">
        <v>2</v>
      </c>
      <c r="AI171" s="30">
        <v>2</v>
      </c>
      <c r="AJ171" s="30">
        <v>2</v>
      </c>
    </row>
    <row r="172" spans="1:69" ht="80.099999999999994" customHeight="1">
      <c r="A172" s="122" t="s">
        <v>8</v>
      </c>
      <c r="B172" s="74" t="s">
        <v>1061</v>
      </c>
      <c r="C172" s="78" t="s">
        <v>417</v>
      </c>
      <c r="D172" s="58" t="s">
        <v>416</v>
      </c>
      <c r="E172" s="76">
        <v>9</v>
      </c>
      <c r="F172" s="77" t="s">
        <v>418</v>
      </c>
      <c r="G172" s="25"/>
      <c r="H172" s="25"/>
      <c r="J172" s="30">
        <f>9</f>
        <v>9</v>
      </c>
      <c r="K172" s="30">
        <f>9+1</f>
        <v>10</v>
      </c>
      <c r="L172" s="30">
        <v>9</v>
      </c>
      <c r="M172" s="30">
        <v>9</v>
      </c>
      <c r="N172" s="30">
        <v>9</v>
      </c>
      <c r="O172" s="30">
        <f>7+1</f>
        <v>8</v>
      </c>
      <c r="P172" s="30">
        <f>8+1</f>
        <v>9</v>
      </c>
      <c r="Q172" s="30">
        <v>8</v>
      </c>
      <c r="R172" s="30">
        <v>7</v>
      </c>
      <c r="S172" s="30">
        <v>7</v>
      </c>
      <c r="T172" s="30">
        <v>7</v>
      </c>
      <c r="U172" s="30">
        <f>4+1</f>
        <v>5</v>
      </c>
      <c r="V172" s="30">
        <f>2+10+1</f>
        <v>13</v>
      </c>
      <c r="W172" s="30">
        <f>11+2</f>
        <v>13</v>
      </c>
      <c r="X172" s="30">
        <v>13</v>
      </c>
      <c r="Y172" s="30">
        <v>13</v>
      </c>
      <c r="Z172" s="30">
        <v>13</v>
      </c>
      <c r="AA172" s="30">
        <f>10+0</f>
        <v>10</v>
      </c>
      <c r="AB172" s="30">
        <v>10</v>
      </c>
      <c r="AC172" s="30">
        <v>10</v>
      </c>
      <c r="AD172" s="30">
        <v>9</v>
      </c>
      <c r="AE172" s="30">
        <v>7</v>
      </c>
      <c r="AF172" s="30">
        <f>7+10</f>
        <v>17</v>
      </c>
      <c r="AG172" s="30">
        <v>17</v>
      </c>
      <c r="AH172" s="30">
        <f>15+2</f>
        <v>17</v>
      </c>
      <c r="AI172" s="30">
        <f>15+1</f>
        <v>16</v>
      </c>
      <c r="AJ172" s="30">
        <f>14+1</f>
        <v>15</v>
      </c>
    </row>
    <row r="173" spans="1:69" ht="80.099999999999994" customHeight="1">
      <c r="A173" s="122" t="s">
        <v>8</v>
      </c>
      <c r="B173" s="74" t="s">
        <v>1068</v>
      </c>
      <c r="C173" s="78" t="s">
        <v>930</v>
      </c>
      <c r="D173" s="58" t="s">
        <v>419</v>
      </c>
      <c r="E173" s="76">
        <v>7</v>
      </c>
      <c r="F173" s="77" t="s">
        <v>420</v>
      </c>
      <c r="G173" s="25"/>
      <c r="H173" s="25"/>
      <c r="J173" s="30">
        <v>4</v>
      </c>
      <c r="K173" s="30">
        <v>4</v>
      </c>
      <c r="L173" s="30">
        <f>3+1</f>
        <v>4</v>
      </c>
      <c r="M173" s="30">
        <v>3</v>
      </c>
      <c r="N173" s="30">
        <v>3</v>
      </c>
      <c r="O173" s="30">
        <v>3</v>
      </c>
      <c r="P173" s="30">
        <v>3</v>
      </c>
      <c r="Q173" s="30">
        <v>3</v>
      </c>
      <c r="R173" s="30">
        <v>2</v>
      </c>
      <c r="S173" s="30">
        <v>2</v>
      </c>
      <c r="T173" s="30">
        <f>2+3</f>
        <v>5</v>
      </c>
      <c r="U173" s="30">
        <f>2+3</f>
        <v>5</v>
      </c>
      <c r="V173" s="30">
        <v>5</v>
      </c>
      <c r="W173" s="30">
        <v>2</v>
      </c>
      <c r="X173" s="30">
        <v>1</v>
      </c>
      <c r="Y173" s="30">
        <v>1</v>
      </c>
      <c r="Z173" s="30">
        <f>1+5</f>
        <v>6</v>
      </c>
      <c r="AA173" s="30">
        <v>6</v>
      </c>
      <c r="AB173" s="30">
        <v>6</v>
      </c>
      <c r="AC173" s="30">
        <v>4</v>
      </c>
      <c r="AD173" s="30">
        <v>4</v>
      </c>
      <c r="AE173" s="30">
        <f>4+5</f>
        <v>9</v>
      </c>
      <c r="AF173" s="30">
        <f>5+5</f>
        <v>10</v>
      </c>
      <c r="AG173" s="30">
        <f>5+4</f>
        <v>9</v>
      </c>
      <c r="AH173" s="30">
        <f>8+1</f>
        <v>9</v>
      </c>
      <c r="AI173" s="30">
        <v>9</v>
      </c>
      <c r="AJ173" s="30">
        <v>9</v>
      </c>
    </row>
    <row r="174" spans="1:69" ht="80.099999999999994" customHeight="1">
      <c r="A174" s="127" t="s">
        <v>8</v>
      </c>
      <c r="B174" s="86" t="s">
        <v>1060</v>
      </c>
      <c r="C174" s="78" t="s">
        <v>422</v>
      </c>
      <c r="D174" s="58" t="s">
        <v>421</v>
      </c>
      <c r="E174" s="76">
        <v>8</v>
      </c>
      <c r="F174" s="77" t="s">
        <v>423</v>
      </c>
      <c r="G174" s="25"/>
      <c r="H174" s="25"/>
      <c r="J174" s="37">
        <f>5</f>
        <v>5</v>
      </c>
      <c r="K174" s="37">
        <v>4</v>
      </c>
      <c r="L174" s="37">
        <v>4</v>
      </c>
      <c r="M174" s="37">
        <f>3+0</f>
        <v>3</v>
      </c>
      <c r="N174" s="37">
        <f>2+1</f>
        <v>3</v>
      </c>
      <c r="O174" s="37">
        <v>1</v>
      </c>
      <c r="P174" s="37">
        <v>1</v>
      </c>
      <c r="Q174" s="37">
        <f>1+4</f>
        <v>5</v>
      </c>
      <c r="R174" s="37">
        <f>4+1</f>
        <v>5</v>
      </c>
      <c r="S174" s="37">
        <v>4</v>
      </c>
      <c r="T174" s="37">
        <v>3</v>
      </c>
      <c r="U174" s="37">
        <v>1</v>
      </c>
      <c r="V174" s="37">
        <f>1+10</f>
        <v>11</v>
      </c>
      <c r="W174" s="37">
        <f>8+2</f>
        <v>10</v>
      </c>
      <c r="X174" s="37">
        <v>9</v>
      </c>
      <c r="Y174" s="37">
        <v>9</v>
      </c>
      <c r="Z174" s="37">
        <f>9+1</f>
        <v>10</v>
      </c>
      <c r="AA174" s="37">
        <v>10</v>
      </c>
      <c r="AB174" s="37">
        <f>9+1</f>
        <v>10</v>
      </c>
      <c r="AC174" s="37">
        <v>9</v>
      </c>
      <c r="AD174" s="37">
        <v>7</v>
      </c>
      <c r="AE174" s="37">
        <f>5+10+1</f>
        <v>16</v>
      </c>
      <c r="AF174" s="37">
        <f>6+10</f>
        <v>16</v>
      </c>
      <c r="AG174" s="37">
        <f>7+9</f>
        <v>16</v>
      </c>
      <c r="AH174" s="37">
        <f>11+3</f>
        <v>14</v>
      </c>
      <c r="AI174" s="37">
        <v>13</v>
      </c>
      <c r="AJ174" s="37">
        <f>11+2</f>
        <v>13</v>
      </c>
    </row>
    <row r="175" spans="1:69" s="32" customFormat="1" ht="80.099999999999994" customHeight="1">
      <c r="A175" s="128" t="s">
        <v>8</v>
      </c>
      <c r="B175" s="91" t="s">
        <v>1054</v>
      </c>
      <c r="C175" s="78" t="s">
        <v>931</v>
      </c>
      <c r="D175" s="58" t="s">
        <v>424</v>
      </c>
      <c r="E175" s="104">
        <v>6</v>
      </c>
      <c r="F175" s="77" t="s">
        <v>425</v>
      </c>
      <c r="G175" s="29"/>
      <c r="H175" s="29"/>
      <c r="I175" s="23"/>
      <c r="J175" s="30">
        <f>21+2</f>
        <v>23</v>
      </c>
      <c r="K175" s="30">
        <f>16+3</f>
        <v>19</v>
      </c>
      <c r="L175" s="30">
        <f>18+1</f>
        <v>19</v>
      </c>
      <c r="M175" s="30">
        <f>18+1</f>
        <v>19</v>
      </c>
      <c r="N175" s="30">
        <f>16+3</f>
        <v>19</v>
      </c>
      <c r="O175" s="30">
        <v>13</v>
      </c>
      <c r="P175" s="30">
        <f>12+1</f>
        <v>13</v>
      </c>
      <c r="Q175" s="30">
        <f>8+10+1</f>
        <v>19</v>
      </c>
      <c r="R175" s="30">
        <f>2+10+3</f>
        <v>15</v>
      </c>
      <c r="S175" s="30">
        <f>2+10+1</f>
        <v>13</v>
      </c>
      <c r="T175" s="30">
        <f>8+20+3</f>
        <v>31</v>
      </c>
      <c r="U175" s="30">
        <f>4+20+3</f>
        <v>27</v>
      </c>
      <c r="V175" s="30">
        <f>3+40+0</f>
        <v>43</v>
      </c>
      <c r="W175" s="30">
        <f>33+4</f>
        <v>37</v>
      </c>
      <c r="X175" s="30">
        <f>32+1</f>
        <v>33</v>
      </c>
      <c r="Y175" s="30">
        <f>31+1</f>
        <v>32</v>
      </c>
      <c r="Z175" s="30">
        <f>31+20+1</f>
        <v>52</v>
      </c>
      <c r="AA175" s="30">
        <f>49+1</f>
        <v>50</v>
      </c>
      <c r="AB175" s="30">
        <f>48+2</f>
        <v>50</v>
      </c>
      <c r="AC175" s="30">
        <f>45+1</f>
        <v>46</v>
      </c>
      <c r="AD175" s="30">
        <f>39+4</f>
        <v>43</v>
      </c>
      <c r="AE175" s="30">
        <f>35+3</f>
        <v>38</v>
      </c>
      <c r="AF175" s="30">
        <f>34+1</f>
        <v>35</v>
      </c>
      <c r="AG175" s="30">
        <v>30</v>
      </c>
      <c r="AH175" s="30">
        <v>27</v>
      </c>
      <c r="AI175" s="30">
        <f>24+1</f>
        <v>25</v>
      </c>
      <c r="AJ175" s="30">
        <f>22+20</f>
        <v>42</v>
      </c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</row>
    <row r="176" spans="1:69" ht="80.099999999999994" customHeight="1">
      <c r="A176" s="127" t="s">
        <v>1406</v>
      </c>
      <c r="B176" s="86"/>
      <c r="C176" s="109" t="s">
        <v>427</v>
      </c>
      <c r="D176" s="58" t="s">
        <v>426</v>
      </c>
      <c r="E176" s="76"/>
      <c r="F176" s="110" t="s">
        <v>428</v>
      </c>
      <c r="G176" s="25"/>
      <c r="H176" s="25"/>
      <c r="J176" s="30">
        <v>4</v>
      </c>
      <c r="K176" s="30">
        <v>4</v>
      </c>
      <c r="L176" s="30">
        <v>4</v>
      </c>
      <c r="M176" s="30">
        <v>4</v>
      </c>
      <c r="N176" s="30">
        <v>4</v>
      </c>
      <c r="O176" s="30">
        <v>4</v>
      </c>
      <c r="P176" s="30">
        <v>4</v>
      </c>
      <c r="Q176" s="30">
        <v>4</v>
      </c>
      <c r="R176" s="30">
        <v>4</v>
      </c>
      <c r="S176" s="30">
        <v>4</v>
      </c>
      <c r="T176" s="30">
        <v>4</v>
      </c>
      <c r="U176" s="30">
        <v>4</v>
      </c>
      <c r="V176" s="30">
        <v>4</v>
      </c>
      <c r="W176" s="30">
        <v>4</v>
      </c>
      <c r="X176" s="30">
        <v>4</v>
      </c>
      <c r="Y176" s="30">
        <v>4</v>
      </c>
      <c r="Z176" s="30">
        <v>4</v>
      </c>
      <c r="AA176" s="30">
        <v>4</v>
      </c>
      <c r="AB176" s="30">
        <v>4</v>
      </c>
      <c r="AC176" s="30">
        <v>4</v>
      </c>
      <c r="AD176" s="30">
        <v>2</v>
      </c>
      <c r="AE176" s="30">
        <v>2</v>
      </c>
      <c r="AF176" s="30">
        <v>2</v>
      </c>
      <c r="AG176" s="30">
        <v>2</v>
      </c>
      <c r="AH176" s="30">
        <v>2</v>
      </c>
      <c r="AI176" s="30">
        <v>2</v>
      </c>
      <c r="AJ176" s="30">
        <v>2</v>
      </c>
    </row>
    <row r="177" spans="1:69" ht="80.099999999999994" customHeight="1">
      <c r="A177" s="125" t="s">
        <v>17</v>
      </c>
      <c r="B177" s="79" t="s">
        <v>1054</v>
      </c>
      <c r="C177" s="78" t="s">
        <v>430</v>
      </c>
      <c r="D177" s="96" t="s">
        <v>136</v>
      </c>
      <c r="E177" s="76"/>
      <c r="F177" s="77" t="s">
        <v>431</v>
      </c>
      <c r="G177" s="25"/>
      <c r="H177" s="25"/>
      <c r="J177" s="30">
        <f>0+4</f>
        <v>4</v>
      </c>
      <c r="K177" s="30">
        <f>0</f>
        <v>0</v>
      </c>
      <c r="L177" s="30">
        <f>0+4</f>
        <v>4</v>
      </c>
      <c r="M177" s="30">
        <f>0</f>
        <v>0</v>
      </c>
      <c r="N177" s="30">
        <f>0+5+2</f>
        <v>7</v>
      </c>
      <c r="O177" s="30">
        <f>0+5</f>
        <v>5</v>
      </c>
      <c r="P177" s="30">
        <f>0+5</f>
        <v>5</v>
      </c>
      <c r="Q177" s="30">
        <f>0+5</f>
        <v>5</v>
      </c>
      <c r="R177" s="30">
        <f>0+5</f>
        <v>5</v>
      </c>
      <c r="S177" s="30">
        <f>0+5</f>
        <v>5</v>
      </c>
      <c r="T177" s="30">
        <f>3+1</f>
        <v>4</v>
      </c>
      <c r="U177" s="30">
        <f>0+1</f>
        <v>1</v>
      </c>
      <c r="V177" s="30">
        <f>0+10</f>
        <v>10</v>
      </c>
      <c r="W177" s="30">
        <f>5+1</f>
        <v>6</v>
      </c>
      <c r="X177" s="30">
        <f>4+1</f>
        <v>5</v>
      </c>
      <c r="Y177" s="30">
        <v>4</v>
      </c>
      <c r="Z177" s="30">
        <f>3+10+0</f>
        <v>13</v>
      </c>
      <c r="AA177" s="30">
        <v>13</v>
      </c>
      <c r="AB177" s="30">
        <v>11</v>
      </c>
      <c r="AC177" s="30">
        <v>11</v>
      </c>
      <c r="AD177" s="30">
        <v>11</v>
      </c>
      <c r="AE177" s="30">
        <f>9+1</f>
        <v>10</v>
      </c>
      <c r="AF177" s="30">
        <f>6+1</f>
        <v>7</v>
      </c>
      <c r="AG177" s="30">
        <f>6+10</f>
        <v>16</v>
      </c>
      <c r="AH177" s="30">
        <f>4+10</f>
        <v>14</v>
      </c>
      <c r="AI177" s="30">
        <f>3+10</f>
        <v>13</v>
      </c>
      <c r="AJ177" s="30">
        <f>7+6</f>
        <v>13</v>
      </c>
    </row>
    <row r="178" spans="1:69" ht="80.099999999999994" customHeight="1">
      <c r="A178" s="122" t="s">
        <v>8</v>
      </c>
      <c r="B178" s="74" t="s">
        <v>1054</v>
      </c>
      <c r="C178" s="78" t="s">
        <v>433</v>
      </c>
      <c r="D178" s="58" t="s">
        <v>432</v>
      </c>
      <c r="E178" s="76">
        <v>9</v>
      </c>
      <c r="F178" s="77" t="s">
        <v>434</v>
      </c>
      <c r="G178" s="25"/>
      <c r="H178" s="25"/>
      <c r="J178" s="30">
        <v>3</v>
      </c>
      <c r="K178" s="30">
        <v>3</v>
      </c>
      <c r="L178" s="30">
        <v>3</v>
      </c>
      <c r="M178" s="30">
        <v>3</v>
      </c>
      <c r="N178" s="30">
        <v>3</v>
      </c>
      <c r="O178" s="30">
        <f>3+2</f>
        <v>5</v>
      </c>
      <c r="P178" s="30">
        <v>5</v>
      </c>
      <c r="Q178" s="30">
        <v>5</v>
      </c>
      <c r="R178" s="30">
        <v>5</v>
      </c>
      <c r="S178" s="30">
        <v>5</v>
      </c>
      <c r="T178" s="30">
        <v>5</v>
      </c>
      <c r="U178" s="30">
        <v>5</v>
      </c>
      <c r="V178" s="30">
        <v>5</v>
      </c>
      <c r="W178" s="30">
        <v>4</v>
      </c>
      <c r="X178" s="30">
        <v>4</v>
      </c>
      <c r="Y178" s="30">
        <v>4</v>
      </c>
      <c r="Z178" s="30">
        <v>4</v>
      </c>
      <c r="AA178" s="30">
        <v>4</v>
      </c>
      <c r="AB178" s="30">
        <v>4</v>
      </c>
      <c r="AC178" s="30">
        <v>4</v>
      </c>
      <c r="AD178" s="30">
        <v>3</v>
      </c>
      <c r="AE178" s="30">
        <v>3</v>
      </c>
      <c r="AF178" s="30">
        <v>3</v>
      </c>
      <c r="AG178" s="30">
        <v>3</v>
      </c>
      <c r="AH178" s="30">
        <v>3</v>
      </c>
      <c r="AI178" s="30">
        <v>3</v>
      </c>
      <c r="AJ178" s="30">
        <v>3</v>
      </c>
    </row>
    <row r="179" spans="1:69" ht="80.099999999999994" customHeight="1">
      <c r="A179" s="134" t="s">
        <v>1405</v>
      </c>
      <c r="B179" s="111" t="s">
        <v>1054</v>
      </c>
      <c r="C179" s="78" t="s">
        <v>1124</v>
      </c>
      <c r="D179" s="96" t="s">
        <v>435</v>
      </c>
      <c r="E179" s="92"/>
      <c r="F179" s="82" t="s">
        <v>436</v>
      </c>
      <c r="G179" s="29"/>
      <c r="H179" s="29"/>
      <c r="J179" s="30">
        <f>0+50</f>
        <v>50</v>
      </c>
      <c r="K179" s="30">
        <f>0+33</f>
        <v>33</v>
      </c>
      <c r="L179" s="30">
        <f>0+10</f>
        <v>10</v>
      </c>
      <c r="M179" s="30">
        <f>0+7</f>
        <v>7</v>
      </c>
      <c r="N179" s="30">
        <f>0+20+8</f>
        <v>28</v>
      </c>
      <c r="O179" s="30">
        <f>0+20+4</f>
        <v>24</v>
      </c>
      <c r="P179" s="30">
        <f>0+20</f>
        <v>20</v>
      </c>
      <c r="Q179" s="30">
        <f>0+20+1</f>
        <v>21</v>
      </c>
      <c r="R179" s="30">
        <f>0+7</f>
        <v>7</v>
      </c>
      <c r="S179" s="30">
        <f>0+80+1</f>
        <v>81</v>
      </c>
      <c r="T179" s="30">
        <f>0+20+3</f>
        <v>23</v>
      </c>
      <c r="U179" s="30">
        <f>0+20+15</f>
        <v>35</v>
      </c>
      <c r="V179" s="30">
        <f>0+170+17</f>
        <v>187</v>
      </c>
      <c r="W179" s="30">
        <f>87+6</f>
        <v>93</v>
      </c>
      <c r="X179" s="30">
        <f>70+60+4</f>
        <v>134</v>
      </c>
      <c r="Y179" s="30">
        <f>46+60+8</f>
        <v>114</v>
      </c>
      <c r="Z179" s="30">
        <f>32+60+3</f>
        <v>95</v>
      </c>
      <c r="AA179" s="30">
        <f>30+38</f>
        <v>68</v>
      </c>
      <c r="AB179" s="30">
        <f>34+8</f>
        <v>42</v>
      </c>
      <c r="AC179" s="30">
        <f>0+3</f>
        <v>3</v>
      </c>
      <c r="AD179" s="30">
        <f>0+1+100</f>
        <v>101</v>
      </c>
      <c r="AE179" s="30">
        <f>0+100+54</f>
        <v>154</v>
      </c>
      <c r="AF179" s="30">
        <f>11+200+7</f>
        <v>218</v>
      </c>
      <c r="AG179" s="30">
        <f>74+38</f>
        <v>112</v>
      </c>
      <c r="AH179" s="30">
        <f>78+88</f>
        <v>166</v>
      </c>
      <c r="AI179" s="30">
        <f>92+63</f>
        <v>155</v>
      </c>
      <c r="AJ179" s="30">
        <f>123+12</f>
        <v>135</v>
      </c>
    </row>
    <row r="180" spans="1:69" ht="80.099999999999994" customHeight="1">
      <c r="A180" s="128" t="s">
        <v>32</v>
      </c>
      <c r="B180" s="91"/>
      <c r="C180" s="78" t="s">
        <v>438</v>
      </c>
      <c r="D180" s="66" t="s">
        <v>437</v>
      </c>
      <c r="E180" s="104"/>
      <c r="F180" s="77" t="s">
        <v>439</v>
      </c>
      <c r="G180" s="29"/>
      <c r="H180" s="29"/>
      <c r="J180" s="30">
        <v>1</v>
      </c>
      <c r="K180" s="30">
        <v>1</v>
      </c>
      <c r="L180" s="30">
        <v>1</v>
      </c>
      <c r="M180" s="30">
        <v>1</v>
      </c>
      <c r="N180" s="30">
        <v>1</v>
      </c>
      <c r="O180" s="30">
        <v>1</v>
      </c>
      <c r="P180" s="30">
        <v>1</v>
      </c>
      <c r="Q180" s="30">
        <v>1</v>
      </c>
      <c r="R180" s="30">
        <v>1</v>
      </c>
      <c r="S180" s="30">
        <v>1</v>
      </c>
      <c r="T180" s="30">
        <v>1</v>
      </c>
      <c r="U180" s="30">
        <f>0+1</f>
        <v>1</v>
      </c>
      <c r="V180" s="30">
        <v>0</v>
      </c>
      <c r="W180" s="30">
        <v>0</v>
      </c>
      <c r="X180" s="30">
        <f>0+2</f>
        <v>2</v>
      </c>
      <c r="Y180" s="30">
        <v>2</v>
      </c>
      <c r="Z180" s="30">
        <v>2</v>
      </c>
      <c r="AA180" s="30">
        <v>2</v>
      </c>
      <c r="AB180" s="30">
        <v>2</v>
      </c>
      <c r="AC180" s="30">
        <v>2</v>
      </c>
      <c r="AD180" s="30">
        <v>2</v>
      </c>
      <c r="AE180" s="30">
        <v>2</v>
      </c>
      <c r="AF180" s="30">
        <v>2</v>
      </c>
      <c r="AG180" s="30">
        <v>2</v>
      </c>
      <c r="AH180" s="30">
        <v>2</v>
      </c>
      <c r="AI180" s="30">
        <v>2</v>
      </c>
      <c r="AJ180" s="30">
        <v>2</v>
      </c>
    </row>
    <row r="181" spans="1:69" ht="80.099999999999994" customHeight="1">
      <c r="A181" s="132" t="s">
        <v>3</v>
      </c>
      <c r="B181" s="102"/>
      <c r="C181" s="75" t="s">
        <v>441</v>
      </c>
      <c r="D181" s="58" t="s">
        <v>440</v>
      </c>
      <c r="E181" s="94"/>
      <c r="F181" s="77" t="s">
        <v>442</v>
      </c>
      <c r="G181" s="25"/>
      <c r="H181" s="25"/>
      <c r="J181" s="30">
        <v>11</v>
      </c>
      <c r="K181" s="30">
        <v>11</v>
      </c>
      <c r="L181" s="30">
        <v>11</v>
      </c>
      <c r="M181" s="30">
        <v>11</v>
      </c>
      <c r="N181" s="30">
        <v>10</v>
      </c>
      <c r="O181" s="30">
        <v>10</v>
      </c>
      <c r="P181" s="30">
        <v>10</v>
      </c>
      <c r="Q181" s="30">
        <v>10</v>
      </c>
      <c r="R181" s="30">
        <v>10</v>
      </c>
      <c r="S181" s="30">
        <v>10</v>
      </c>
      <c r="T181" s="30">
        <f>9+1</f>
        <v>10</v>
      </c>
      <c r="U181" s="30">
        <v>9</v>
      </c>
      <c r="V181" s="30">
        <v>9</v>
      </c>
      <c r="W181" s="30">
        <v>9</v>
      </c>
      <c r="X181" s="30">
        <v>9</v>
      </c>
      <c r="Y181" s="30">
        <v>9</v>
      </c>
      <c r="Z181" s="30">
        <v>9</v>
      </c>
      <c r="AA181" s="30">
        <v>9</v>
      </c>
      <c r="AB181" s="30">
        <v>9</v>
      </c>
      <c r="AC181" s="30">
        <v>9</v>
      </c>
      <c r="AD181" s="30">
        <v>9</v>
      </c>
      <c r="AE181" s="30">
        <v>9</v>
      </c>
      <c r="AF181" s="30">
        <v>9</v>
      </c>
      <c r="AG181" s="30">
        <v>9</v>
      </c>
      <c r="AH181" s="30">
        <v>10</v>
      </c>
      <c r="AI181" s="30">
        <v>10</v>
      </c>
      <c r="AJ181" s="30">
        <v>10</v>
      </c>
    </row>
    <row r="182" spans="1:69" ht="80.099999999999994" customHeight="1">
      <c r="A182" s="122" t="s">
        <v>8</v>
      </c>
      <c r="B182" s="74" t="s">
        <v>1064</v>
      </c>
      <c r="C182" s="78" t="s">
        <v>444</v>
      </c>
      <c r="D182" s="58" t="s">
        <v>443</v>
      </c>
      <c r="E182" s="76">
        <v>7</v>
      </c>
      <c r="F182" s="77" t="s">
        <v>445</v>
      </c>
      <c r="G182" s="25"/>
      <c r="H182" s="25"/>
      <c r="J182" s="30">
        <v>3</v>
      </c>
      <c r="K182" s="30">
        <v>3</v>
      </c>
      <c r="L182" s="30">
        <v>3</v>
      </c>
      <c r="M182" s="30">
        <v>3</v>
      </c>
      <c r="N182" s="30">
        <v>3</v>
      </c>
      <c r="O182" s="30">
        <v>3</v>
      </c>
      <c r="P182" s="30">
        <v>3</v>
      </c>
      <c r="Q182" s="30">
        <v>3</v>
      </c>
      <c r="R182" s="30">
        <v>3</v>
      </c>
      <c r="S182" s="30">
        <v>3</v>
      </c>
      <c r="T182" s="30">
        <v>3</v>
      </c>
      <c r="U182" s="30">
        <v>3</v>
      </c>
      <c r="V182" s="30">
        <v>3</v>
      </c>
      <c r="W182" s="30">
        <v>3</v>
      </c>
      <c r="X182" s="30">
        <v>3</v>
      </c>
      <c r="Y182" s="30">
        <v>3</v>
      </c>
      <c r="Z182" s="30">
        <v>3</v>
      </c>
      <c r="AA182" s="30">
        <v>3</v>
      </c>
      <c r="AB182" s="30">
        <v>3</v>
      </c>
      <c r="AC182" s="30">
        <v>3</v>
      </c>
      <c r="AD182" s="30">
        <v>3</v>
      </c>
      <c r="AE182" s="30">
        <v>3</v>
      </c>
      <c r="AF182" s="30">
        <v>3</v>
      </c>
      <c r="AG182" s="30">
        <v>3</v>
      </c>
      <c r="AH182" s="30">
        <v>3</v>
      </c>
      <c r="AI182" s="30">
        <v>3</v>
      </c>
      <c r="AJ182" s="30">
        <v>3</v>
      </c>
    </row>
    <row r="183" spans="1:69" ht="80.099999999999994" customHeight="1">
      <c r="A183" s="122" t="s">
        <v>8</v>
      </c>
      <c r="B183" s="74" t="s">
        <v>1061</v>
      </c>
      <c r="C183" s="78" t="s">
        <v>447</v>
      </c>
      <c r="D183" s="58" t="s">
        <v>446</v>
      </c>
      <c r="E183" s="76">
        <v>7</v>
      </c>
      <c r="F183" s="77" t="s">
        <v>448</v>
      </c>
      <c r="G183" s="25"/>
      <c r="H183" s="25"/>
      <c r="J183" s="30">
        <v>13</v>
      </c>
      <c r="K183" s="30">
        <v>13</v>
      </c>
      <c r="L183" s="30">
        <v>13</v>
      </c>
      <c r="M183" s="30">
        <v>13</v>
      </c>
      <c r="N183" s="30">
        <v>13</v>
      </c>
      <c r="O183" s="30">
        <v>13</v>
      </c>
      <c r="P183" s="30">
        <v>13</v>
      </c>
      <c r="Q183" s="30">
        <v>13</v>
      </c>
      <c r="R183" s="30">
        <v>13</v>
      </c>
      <c r="S183" s="30">
        <v>13</v>
      </c>
      <c r="T183" s="30">
        <v>13</v>
      </c>
      <c r="U183" s="30">
        <v>13</v>
      </c>
      <c r="V183" s="30">
        <v>13</v>
      </c>
      <c r="W183" s="30">
        <v>13</v>
      </c>
      <c r="X183" s="30">
        <v>13</v>
      </c>
      <c r="Y183" s="30">
        <v>13</v>
      </c>
      <c r="Z183" s="30">
        <v>13</v>
      </c>
      <c r="AA183" s="30">
        <v>13</v>
      </c>
      <c r="AB183" s="30">
        <v>13</v>
      </c>
      <c r="AC183" s="30">
        <v>13</v>
      </c>
      <c r="AD183" s="30">
        <v>13</v>
      </c>
      <c r="AE183" s="30">
        <v>13</v>
      </c>
      <c r="AF183" s="30">
        <v>13</v>
      </c>
      <c r="AG183" s="30">
        <v>13</v>
      </c>
      <c r="AH183" s="30">
        <v>13</v>
      </c>
      <c r="AI183" s="30">
        <v>13</v>
      </c>
      <c r="AJ183" s="30">
        <v>13</v>
      </c>
    </row>
    <row r="184" spans="1:69" s="32" customFormat="1" ht="80.099999999999994" customHeight="1">
      <c r="A184" s="127" t="s">
        <v>8</v>
      </c>
      <c r="B184" s="86" t="s">
        <v>1066</v>
      </c>
      <c r="C184" s="78" t="s">
        <v>1006</v>
      </c>
      <c r="D184" s="96" t="s">
        <v>449</v>
      </c>
      <c r="E184" s="76">
        <v>8</v>
      </c>
      <c r="F184" s="77" t="s">
        <v>450</v>
      </c>
      <c r="G184" s="25"/>
      <c r="H184" s="25"/>
      <c r="I184" s="23"/>
      <c r="J184" s="30">
        <v>11</v>
      </c>
      <c r="K184" s="30">
        <v>11</v>
      </c>
      <c r="L184" s="30">
        <f>10</f>
        <v>10</v>
      </c>
      <c r="M184" s="30">
        <v>10</v>
      </c>
      <c r="N184" s="30">
        <v>10</v>
      </c>
      <c r="O184" s="30">
        <v>10</v>
      </c>
      <c r="P184" s="30">
        <v>10</v>
      </c>
      <c r="Q184" s="30">
        <v>10</v>
      </c>
      <c r="R184" s="30">
        <v>10</v>
      </c>
      <c r="S184" s="30">
        <v>10</v>
      </c>
      <c r="T184" s="30">
        <v>10</v>
      </c>
      <c r="U184" s="30">
        <v>10</v>
      </c>
      <c r="V184" s="30">
        <v>9</v>
      </c>
      <c r="W184" s="30">
        <f>3+1</f>
        <v>4</v>
      </c>
      <c r="X184" s="30">
        <f>4+5</f>
        <v>9</v>
      </c>
      <c r="Y184" s="30">
        <f>8+1</f>
        <v>9</v>
      </c>
      <c r="Z184" s="30">
        <f>8+1</f>
        <v>9</v>
      </c>
      <c r="AA184" s="30">
        <v>8</v>
      </c>
      <c r="AB184" s="30">
        <f>6+1</f>
        <v>7</v>
      </c>
      <c r="AC184" s="30">
        <v>7</v>
      </c>
      <c r="AD184" s="30">
        <f>6+5</f>
        <v>11</v>
      </c>
      <c r="AE184" s="30">
        <f>8+3</f>
        <v>11</v>
      </c>
      <c r="AF184" s="30">
        <f>8+1</f>
        <v>9</v>
      </c>
      <c r="AG184" s="30">
        <f>5+1</f>
        <v>6</v>
      </c>
      <c r="AH184" s="30">
        <f>5+5+1</f>
        <v>11</v>
      </c>
      <c r="AI184" s="30">
        <f>7+4</f>
        <v>11</v>
      </c>
      <c r="AJ184" s="30">
        <f>8+2</f>
        <v>10</v>
      </c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</row>
    <row r="185" spans="1:69" s="32" customFormat="1" ht="80.099999999999994" customHeight="1">
      <c r="A185" s="122" t="s">
        <v>1436</v>
      </c>
      <c r="B185" s="74" t="s">
        <v>1070</v>
      </c>
      <c r="C185" s="78" t="s">
        <v>452</v>
      </c>
      <c r="D185" s="58" t="s">
        <v>451</v>
      </c>
      <c r="E185" s="76"/>
      <c r="F185" s="77" t="s">
        <v>453</v>
      </c>
      <c r="G185" s="25"/>
      <c r="H185" s="25"/>
      <c r="I185" s="23"/>
      <c r="J185" s="30">
        <v>5</v>
      </c>
      <c r="K185" s="30">
        <v>5</v>
      </c>
      <c r="L185" s="30">
        <v>5</v>
      </c>
      <c r="M185" s="30">
        <v>5</v>
      </c>
      <c r="N185" s="30">
        <v>5</v>
      </c>
      <c r="O185" s="30">
        <v>5</v>
      </c>
      <c r="P185" s="30">
        <v>5</v>
      </c>
      <c r="Q185" s="30">
        <v>5</v>
      </c>
      <c r="R185" s="30">
        <v>5</v>
      </c>
      <c r="S185" s="30">
        <v>5</v>
      </c>
      <c r="T185" s="30">
        <v>5</v>
      </c>
      <c r="U185" s="30">
        <v>5</v>
      </c>
      <c r="V185" s="30">
        <v>5</v>
      </c>
      <c r="W185" s="30">
        <v>5</v>
      </c>
      <c r="X185" s="30">
        <v>5</v>
      </c>
      <c r="Y185" s="30">
        <v>5</v>
      </c>
      <c r="Z185" s="30">
        <v>5</v>
      </c>
      <c r="AA185" s="30">
        <v>5</v>
      </c>
      <c r="AB185" s="30">
        <v>5</v>
      </c>
      <c r="AC185" s="30">
        <v>5</v>
      </c>
      <c r="AD185" s="30">
        <v>5</v>
      </c>
      <c r="AE185" s="30">
        <v>5</v>
      </c>
      <c r="AF185" s="30">
        <v>5</v>
      </c>
      <c r="AG185" s="30">
        <v>5</v>
      </c>
      <c r="AH185" s="30">
        <v>5</v>
      </c>
      <c r="AI185" s="30">
        <v>5</v>
      </c>
      <c r="AJ185" s="30">
        <v>5</v>
      </c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</row>
    <row r="186" spans="1:69" ht="80.099999999999994" customHeight="1">
      <c r="A186" s="134" t="s">
        <v>32</v>
      </c>
      <c r="B186" s="111"/>
      <c r="C186" s="78" t="s">
        <v>932</v>
      </c>
      <c r="D186" s="64" t="s">
        <v>454</v>
      </c>
      <c r="E186" s="92"/>
      <c r="F186" s="77" t="s">
        <v>455</v>
      </c>
      <c r="G186" s="29"/>
      <c r="H186" s="29"/>
      <c r="J186" s="30">
        <v>2</v>
      </c>
      <c r="K186" s="30">
        <v>2</v>
      </c>
      <c r="L186" s="30">
        <v>2</v>
      </c>
      <c r="M186" s="30">
        <v>2</v>
      </c>
      <c r="N186" s="30">
        <v>2</v>
      </c>
      <c r="O186" s="30">
        <v>2</v>
      </c>
      <c r="P186" s="30">
        <v>2</v>
      </c>
      <c r="Q186" s="30">
        <v>2</v>
      </c>
      <c r="R186" s="30">
        <f>0+1</f>
        <v>1</v>
      </c>
      <c r="S186" s="30">
        <v>0</v>
      </c>
      <c r="T186" s="30">
        <f>0+3</f>
        <v>3</v>
      </c>
      <c r="U186" s="30">
        <f>0+3</f>
        <v>3</v>
      </c>
      <c r="V186" s="30">
        <f>2</f>
        <v>2</v>
      </c>
      <c r="W186" s="30">
        <v>1</v>
      </c>
      <c r="X186" s="30">
        <f>2+3</f>
        <v>5</v>
      </c>
      <c r="Y186" s="30">
        <v>5</v>
      </c>
      <c r="Z186" s="30">
        <v>5</v>
      </c>
      <c r="AA186" s="30">
        <v>5</v>
      </c>
      <c r="AB186" s="30">
        <v>5</v>
      </c>
      <c r="AC186" s="30">
        <v>4</v>
      </c>
      <c r="AD186" s="30">
        <v>3</v>
      </c>
      <c r="AE186" s="30">
        <v>3</v>
      </c>
      <c r="AF186" s="30">
        <v>3</v>
      </c>
      <c r="AG186" s="30">
        <v>2</v>
      </c>
      <c r="AH186" s="30">
        <v>2</v>
      </c>
      <c r="AI186" s="30">
        <v>2</v>
      </c>
      <c r="AJ186" s="30">
        <f>1+3</f>
        <v>4</v>
      </c>
    </row>
    <row r="187" spans="1:69" ht="80.099999999999994" customHeight="1">
      <c r="A187" s="128" t="s">
        <v>8</v>
      </c>
      <c r="B187" s="91" t="s">
        <v>1414</v>
      </c>
      <c r="C187" s="78" t="s">
        <v>457</v>
      </c>
      <c r="D187" s="64" t="s">
        <v>456</v>
      </c>
      <c r="E187" s="92">
        <v>9</v>
      </c>
      <c r="F187" s="77" t="s">
        <v>458</v>
      </c>
      <c r="G187" s="29"/>
      <c r="H187" s="29"/>
      <c r="J187" s="30">
        <v>8</v>
      </c>
      <c r="K187" s="30">
        <v>8</v>
      </c>
      <c r="L187" s="30">
        <v>8</v>
      </c>
      <c r="M187" s="30">
        <v>8</v>
      </c>
      <c r="N187" s="30">
        <v>8</v>
      </c>
      <c r="O187" s="30">
        <v>8</v>
      </c>
      <c r="P187" s="30">
        <v>8</v>
      </c>
      <c r="Q187" s="30">
        <v>8</v>
      </c>
      <c r="R187" s="30">
        <v>8</v>
      </c>
      <c r="S187" s="30">
        <v>8</v>
      </c>
      <c r="T187" s="30">
        <v>8</v>
      </c>
      <c r="U187" s="30">
        <v>8</v>
      </c>
      <c r="V187" s="30">
        <v>8</v>
      </c>
      <c r="W187" s="30">
        <v>8</v>
      </c>
      <c r="X187" s="30">
        <v>8</v>
      </c>
      <c r="Y187" s="30">
        <v>8</v>
      </c>
      <c r="Z187" s="30">
        <v>8</v>
      </c>
      <c r="AA187" s="30">
        <v>8</v>
      </c>
      <c r="AB187" s="30">
        <v>8</v>
      </c>
      <c r="AC187" s="30">
        <v>8</v>
      </c>
      <c r="AD187" s="30">
        <v>8</v>
      </c>
      <c r="AE187" s="30">
        <v>8</v>
      </c>
      <c r="AF187" s="30">
        <v>8</v>
      </c>
      <c r="AG187" s="30">
        <v>8</v>
      </c>
      <c r="AH187" s="30">
        <v>8</v>
      </c>
      <c r="AI187" s="30">
        <v>8</v>
      </c>
      <c r="AJ187" s="30">
        <v>8</v>
      </c>
    </row>
    <row r="188" spans="1:69" ht="80.099999999999994" customHeight="1">
      <c r="A188" s="125" t="s">
        <v>1405</v>
      </c>
      <c r="B188" s="79" t="s">
        <v>1054</v>
      </c>
      <c r="C188" s="78" t="s">
        <v>933</v>
      </c>
      <c r="D188" s="67" t="s">
        <v>459</v>
      </c>
      <c r="E188" s="76"/>
      <c r="F188" s="77" t="s">
        <v>460</v>
      </c>
      <c r="G188" s="25"/>
      <c r="H188" s="25"/>
      <c r="J188" s="30">
        <f>7+4</f>
        <v>11</v>
      </c>
      <c r="K188" s="30">
        <v>11</v>
      </c>
      <c r="L188" s="30">
        <v>9</v>
      </c>
      <c r="M188" s="30">
        <v>9</v>
      </c>
      <c r="N188" s="30">
        <f>4+10+3</f>
        <v>17</v>
      </c>
      <c r="O188" s="30">
        <f>2+10+2</f>
        <v>14</v>
      </c>
      <c r="P188" s="30">
        <f>2+10</f>
        <v>12</v>
      </c>
      <c r="Q188" s="30">
        <f>0+30+1</f>
        <v>31</v>
      </c>
      <c r="R188" s="30">
        <f>17+8+2</f>
        <v>27</v>
      </c>
      <c r="S188" s="30">
        <f>11+8+3</f>
        <v>22</v>
      </c>
      <c r="T188" s="30">
        <f>16+3+3</f>
        <v>22</v>
      </c>
      <c r="U188" s="30">
        <f>15+3+1</f>
        <v>19</v>
      </c>
      <c r="V188" s="30">
        <f>15+2</f>
        <v>17</v>
      </c>
      <c r="W188" s="30">
        <f>9+1</f>
        <v>10</v>
      </c>
      <c r="X188" s="30">
        <f>7+1</f>
        <v>8</v>
      </c>
      <c r="Y188" s="30">
        <v>7</v>
      </c>
      <c r="Z188" s="30">
        <v>6</v>
      </c>
      <c r="AA188" s="30">
        <f>3+1</f>
        <v>4</v>
      </c>
      <c r="AB188" s="30">
        <f>0+1</f>
        <v>1</v>
      </c>
      <c r="AC188" s="30">
        <v>0</v>
      </c>
      <c r="AD188" s="30">
        <f>0+20</f>
        <v>20</v>
      </c>
      <c r="AE188" s="30">
        <f>7+13</f>
        <v>20</v>
      </c>
      <c r="AF188" s="30">
        <v>17</v>
      </c>
      <c r="AG188" s="30">
        <f>13+15</f>
        <v>28</v>
      </c>
      <c r="AH188" s="30">
        <f>9+13+1</f>
        <v>23</v>
      </c>
      <c r="AI188" s="30">
        <f>9+13</f>
        <v>22</v>
      </c>
      <c r="AJ188" s="30">
        <f>10+12</f>
        <v>22</v>
      </c>
    </row>
    <row r="189" spans="1:69" ht="80.099999999999994" customHeight="1">
      <c r="A189" s="122" t="s">
        <v>8</v>
      </c>
      <c r="B189" s="74" t="s">
        <v>1054</v>
      </c>
      <c r="C189" s="78" t="s">
        <v>934</v>
      </c>
      <c r="D189" s="108" t="s">
        <v>72</v>
      </c>
      <c r="E189" s="76">
        <v>8</v>
      </c>
      <c r="F189" s="77" t="s">
        <v>462</v>
      </c>
      <c r="G189" s="25"/>
      <c r="H189" s="25"/>
      <c r="J189" s="30">
        <f>9</f>
        <v>9</v>
      </c>
      <c r="K189" s="30">
        <v>9</v>
      </c>
      <c r="L189" s="30">
        <v>9</v>
      </c>
      <c r="M189" s="30">
        <v>9</v>
      </c>
      <c r="N189" s="30">
        <v>6</v>
      </c>
      <c r="O189" s="30">
        <v>6</v>
      </c>
      <c r="P189" s="30">
        <v>6</v>
      </c>
      <c r="Q189" s="30">
        <f>4+5</f>
        <v>9</v>
      </c>
      <c r="R189" s="30">
        <v>7</v>
      </c>
      <c r="S189" s="30">
        <v>7</v>
      </c>
      <c r="T189" s="30">
        <f>3+10+3</f>
        <v>16</v>
      </c>
      <c r="U189" s="30">
        <f>5+10</f>
        <v>15</v>
      </c>
      <c r="V189" s="30">
        <v>13</v>
      </c>
      <c r="W189" s="30">
        <v>11</v>
      </c>
      <c r="X189" s="30">
        <f>12+1</f>
        <v>13</v>
      </c>
      <c r="Y189" s="30">
        <f>13+1</f>
        <v>14</v>
      </c>
      <c r="Z189" s="30">
        <f>13+1</f>
        <v>14</v>
      </c>
      <c r="AA189" s="30">
        <f>13+1</f>
        <v>14</v>
      </c>
      <c r="AB189" s="30">
        <v>12</v>
      </c>
      <c r="AC189" s="30">
        <f>8+1</f>
        <v>9</v>
      </c>
      <c r="AD189" s="30">
        <v>8</v>
      </c>
      <c r="AE189" s="30">
        <f>9+10+1</f>
        <v>20</v>
      </c>
      <c r="AF189" s="30">
        <f>7+10</f>
        <v>17</v>
      </c>
      <c r="AG189" s="30">
        <v>7</v>
      </c>
      <c r="AH189" s="30">
        <f>9+7</f>
        <v>16</v>
      </c>
      <c r="AI189" s="30">
        <f>12+4</f>
        <v>16</v>
      </c>
      <c r="AJ189" s="30">
        <f>13+1</f>
        <v>14</v>
      </c>
    </row>
    <row r="190" spans="1:69" ht="80.099999999999994" customHeight="1">
      <c r="A190" s="122" t="s">
        <v>1436</v>
      </c>
      <c r="B190" s="74"/>
      <c r="C190" s="75" t="s">
        <v>1183</v>
      </c>
      <c r="D190" s="56" t="s">
        <v>1182</v>
      </c>
      <c r="E190" s="80"/>
      <c r="F190" s="81" t="s">
        <v>1206</v>
      </c>
      <c r="G190" s="23"/>
      <c r="H190" s="25"/>
      <c r="I190" s="49"/>
      <c r="AI190" s="30">
        <v>0</v>
      </c>
      <c r="AJ190" s="30">
        <v>0</v>
      </c>
    </row>
    <row r="191" spans="1:69" ht="80.099999999999994" customHeight="1">
      <c r="A191" s="122" t="s">
        <v>8</v>
      </c>
      <c r="B191" s="74" t="s">
        <v>1054</v>
      </c>
      <c r="C191" s="78" t="s">
        <v>464</v>
      </c>
      <c r="D191" s="58" t="s">
        <v>463</v>
      </c>
      <c r="E191" s="76">
        <v>8</v>
      </c>
      <c r="F191" s="77" t="s">
        <v>465</v>
      </c>
      <c r="G191" s="25"/>
      <c r="H191" s="25"/>
      <c r="J191" s="30">
        <v>6</v>
      </c>
      <c r="K191" s="30">
        <v>6</v>
      </c>
      <c r="L191" s="30">
        <v>6</v>
      </c>
      <c r="M191" s="30">
        <v>6</v>
      </c>
      <c r="N191" s="30">
        <v>6</v>
      </c>
      <c r="O191" s="30">
        <v>6</v>
      </c>
      <c r="P191" s="30">
        <v>6</v>
      </c>
      <c r="Q191" s="30">
        <v>6</v>
      </c>
      <c r="R191" s="30">
        <v>6</v>
      </c>
      <c r="S191" s="30">
        <v>6</v>
      </c>
      <c r="T191" s="30">
        <v>6</v>
      </c>
      <c r="U191" s="30">
        <v>6</v>
      </c>
      <c r="V191" s="30">
        <v>6</v>
      </c>
      <c r="W191" s="30">
        <v>6</v>
      </c>
      <c r="X191" s="30">
        <v>6</v>
      </c>
      <c r="Y191" s="30">
        <v>6</v>
      </c>
      <c r="Z191" s="30">
        <v>6</v>
      </c>
      <c r="AA191" s="30">
        <v>6</v>
      </c>
      <c r="AB191" s="30">
        <v>6</v>
      </c>
      <c r="AC191" s="30">
        <v>6</v>
      </c>
      <c r="AD191" s="30">
        <v>6</v>
      </c>
      <c r="AE191" s="30">
        <v>6</v>
      </c>
      <c r="AF191" s="30">
        <v>6</v>
      </c>
      <c r="AG191" s="30">
        <v>6</v>
      </c>
      <c r="AH191" s="30">
        <f>6</f>
        <v>6</v>
      </c>
      <c r="AI191" s="30">
        <v>6</v>
      </c>
      <c r="AJ191" s="30">
        <v>6</v>
      </c>
    </row>
    <row r="192" spans="1:69" ht="80.099999999999994" customHeight="1">
      <c r="A192" s="128" t="s">
        <v>8</v>
      </c>
      <c r="B192" s="91" t="s">
        <v>1069</v>
      </c>
      <c r="C192" s="78" t="s">
        <v>1007</v>
      </c>
      <c r="D192" s="58" t="s">
        <v>466</v>
      </c>
      <c r="E192" s="92">
        <v>9</v>
      </c>
      <c r="F192" s="77" t="s">
        <v>467</v>
      </c>
      <c r="G192" s="29"/>
      <c r="H192" s="29"/>
      <c r="J192" s="30">
        <v>3</v>
      </c>
      <c r="K192" s="30">
        <v>3</v>
      </c>
      <c r="L192" s="30">
        <v>2</v>
      </c>
      <c r="M192" s="30">
        <v>2</v>
      </c>
      <c r="N192" s="30">
        <f>0+7</f>
        <v>7</v>
      </c>
      <c r="O192" s="30">
        <f>0+7</f>
        <v>7</v>
      </c>
      <c r="P192" s="30">
        <f>0+7</f>
        <v>7</v>
      </c>
      <c r="Q192" s="30">
        <f>0+12</f>
        <v>12</v>
      </c>
      <c r="R192" s="30">
        <f>2+7+1</f>
        <v>10</v>
      </c>
      <c r="S192" s="30">
        <f>2+7+1</f>
        <v>10</v>
      </c>
      <c r="T192" s="30">
        <v>10</v>
      </c>
      <c r="U192" s="30">
        <v>10</v>
      </c>
      <c r="V192" s="30">
        <v>10</v>
      </c>
      <c r="W192" s="30">
        <v>9</v>
      </c>
      <c r="X192" s="30">
        <v>8</v>
      </c>
      <c r="Y192" s="30">
        <v>8</v>
      </c>
      <c r="Z192" s="30">
        <v>8</v>
      </c>
      <c r="AA192" s="30">
        <f>4+2</f>
        <v>6</v>
      </c>
      <c r="AB192" s="30">
        <v>5</v>
      </c>
      <c r="AC192" s="30">
        <v>6</v>
      </c>
      <c r="AD192" s="30">
        <f>5+5</f>
        <v>10</v>
      </c>
      <c r="AE192" s="30">
        <f>5+3</f>
        <v>8</v>
      </c>
      <c r="AF192" s="30">
        <f>6+10</f>
        <v>16</v>
      </c>
      <c r="AG192" s="30">
        <f>9+15</f>
        <v>24</v>
      </c>
      <c r="AH192" s="30">
        <f>15+1</f>
        <v>16</v>
      </c>
      <c r="AI192" s="30">
        <v>15</v>
      </c>
      <c r="AJ192" s="30">
        <v>14</v>
      </c>
    </row>
    <row r="193" spans="1:69" ht="80.099999999999994" customHeight="1">
      <c r="A193" s="127" t="s">
        <v>17</v>
      </c>
      <c r="B193" s="86" t="s">
        <v>1054</v>
      </c>
      <c r="C193" s="84" t="s">
        <v>935</v>
      </c>
      <c r="D193" s="58" t="s">
        <v>468</v>
      </c>
      <c r="E193" s="97"/>
      <c r="F193" s="77" t="s">
        <v>469</v>
      </c>
      <c r="G193" s="25"/>
      <c r="H193" s="25"/>
      <c r="J193" s="30">
        <f>2+13+9</f>
        <v>24</v>
      </c>
      <c r="K193" s="30">
        <f>3+13+8</f>
        <v>24</v>
      </c>
      <c r="L193" s="30">
        <f>1+5</f>
        <v>6</v>
      </c>
      <c r="M193" s="30">
        <f>2+14</f>
        <v>16</v>
      </c>
      <c r="N193" s="30">
        <f>0+20+13</f>
        <v>33</v>
      </c>
      <c r="O193" s="30">
        <f>0+20+13</f>
        <v>33</v>
      </c>
      <c r="P193" s="30">
        <f>1+20+13</f>
        <v>34</v>
      </c>
      <c r="Q193" s="30">
        <f>0+40+5</f>
        <v>45</v>
      </c>
      <c r="R193" s="30">
        <f>0+20+18</f>
        <v>38</v>
      </c>
      <c r="S193" s="30">
        <f>1+20+16</f>
        <v>37</v>
      </c>
      <c r="T193" s="30">
        <f>20+30+11</f>
        <v>61</v>
      </c>
      <c r="U193" s="30">
        <f>22+30+3</f>
        <v>55</v>
      </c>
      <c r="V193" s="30">
        <f>20+30+1</f>
        <v>51</v>
      </c>
      <c r="W193" s="30">
        <f>26+9</f>
        <v>35</v>
      </c>
      <c r="X193" s="30">
        <f>27+6</f>
        <v>33</v>
      </c>
      <c r="Y193" s="30">
        <f>26+4</f>
        <v>30</v>
      </c>
      <c r="Z193" s="30">
        <f>25+20+2</f>
        <v>47</v>
      </c>
      <c r="AA193" s="30">
        <f>24+20</f>
        <v>44</v>
      </c>
      <c r="AB193" s="30">
        <f>28+11</f>
        <v>39</v>
      </c>
      <c r="AC193" s="30">
        <f>35+1</f>
        <v>36</v>
      </c>
      <c r="AD193" s="30">
        <f>28+1</f>
        <v>29</v>
      </c>
      <c r="AE193" s="30">
        <f>27+1</f>
        <v>28</v>
      </c>
      <c r="AF193" s="30">
        <f>18</f>
        <v>18</v>
      </c>
      <c r="AG193" s="30">
        <f>17+20</f>
        <v>37</v>
      </c>
      <c r="AH193" s="30">
        <f>12+20</f>
        <v>32</v>
      </c>
      <c r="AI193" s="30">
        <f>7+20</f>
        <v>27</v>
      </c>
      <c r="AJ193" s="30">
        <f>7+19</f>
        <v>26</v>
      </c>
    </row>
    <row r="194" spans="1:69" s="32" customFormat="1" ht="80.099999999999994" customHeight="1">
      <c r="A194" s="128" t="s">
        <v>17</v>
      </c>
      <c r="B194" s="91" t="s">
        <v>1054</v>
      </c>
      <c r="C194" s="75" t="s">
        <v>936</v>
      </c>
      <c r="D194" s="64" t="s">
        <v>470</v>
      </c>
      <c r="E194" s="92"/>
      <c r="F194" s="77" t="s">
        <v>471</v>
      </c>
      <c r="G194" s="36" t="s">
        <v>129</v>
      </c>
      <c r="H194" s="36"/>
      <c r="I194" s="23"/>
      <c r="J194" s="30">
        <v>6</v>
      </c>
      <c r="K194" s="30">
        <v>6</v>
      </c>
      <c r="L194" s="30">
        <v>5</v>
      </c>
      <c r="M194" s="30">
        <v>4</v>
      </c>
      <c r="N194" s="30">
        <v>4</v>
      </c>
      <c r="O194" s="30">
        <v>4</v>
      </c>
      <c r="P194" s="30">
        <v>4</v>
      </c>
      <c r="Q194" s="30">
        <v>4</v>
      </c>
      <c r="R194" s="30">
        <v>3</v>
      </c>
      <c r="S194" s="30">
        <v>3</v>
      </c>
      <c r="T194" s="30">
        <f>3+10</f>
        <v>13</v>
      </c>
      <c r="U194" s="30">
        <f>3+10</f>
        <v>13</v>
      </c>
      <c r="V194" s="30">
        <v>12</v>
      </c>
      <c r="W194" s="30">
        <v>7</v>
      </c>
      <c r="X194" s="30">
        <v>7</v>
      </c>
      <c r="Y194" s="30">
        <v>7</v>
      </c>
      <c r="Z194" s="30">
        <v>7</v>
      </c>
      <c r="AA194" s="30">
        <v>8</v>
      </c>
      <c r="AB194" s="30">
        <v>8</v>
      </c>
      <c r="AC194" s="30">
        <v>8</v>
      </c>
      <c r="AD194" s="30">
        <v>7</v>
      </c>
      <c r="AE194" s="30">
        <v>5</v>
      </c>
      <c r="AF194" s="30">
        <f>4+6</f>
        <v>10</v>
      </c>
      <c r="AG194" s="30">
        <v>10</v>
      </c>
      <c r="AH194" s="30">
        <f>10+1</f>
        <v>11</v>
      </c>
      <c r="AI194" s="30">
        <v>11</v>
      </c>
      <c r="AJ194" s="30">
        <v>10</v>
      </c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</row>
    <row r="195" spans="1:69" s="32" customFormat="1" ht="80.099999999999994" customHeight="1">
      <c r="A195" s="127" t="s">
        <v>8</v>
      </c>
      <c r="B195" s="86" t="s">
        <v>1065</v>
      </c>
      <c r="C195" s="78" t="s">
        <v>1008</v>
      </c>
      <c r="D195" s="58" t="s">
        <v>472</v>
      </c>
      <c r="E195" s="76">
        <v>7</v>
      </c>
      <c r="F195" s="77" t="s">
        <v>473</v>
      </c>
      <c r="G195" s="25"/>
      <c r="H195" s="25"/>
      <c r="I195" s="23"/>
      <c r="J195" s="30">
        <v>0</v>
      </c>
      <c r="K195" s="30">
        <v>0</v>
      </c>
      <c r="L195" s="30">
        <v>0</v>
      </c>
      <c r="M195" s="30">
        <v>0</v>
      </c>
      <c r="N195" s="30">
        <f>0+8</f>
        <v>8</v>
      </c>
      <c r="O195" s="30">
        <f>0+8</f>
        <v>8</v>
      </c>
      <c r="P195" s="30">
        <f>0+8</f>
        <v>8</v>
      </c>
      <c r="Q195" s="30">
        <f>0+8</f>
        <v>8</v>
      </c>
      <c r="R195" s="30">
        <f>0+7</f>
        <v>7</v>
      </c>
      <c r="S195" s="30">
        <f>1+6</f>
        <v>7</v>
      </c>
      <c r="T195" s="30">
        <f>4+3</f>
        <v>7</v>
      </c>
      <c r="U195" s="30">
        <v>5</v>
      </c>
      <c r="V195" s="30">
        <v>5</v>
      </c>
      <c r="W195" s="30">
        <v>5</v>
      </c>
      <c r="X195" s="30">
        <f>4+1</f>
        <v>5</v>
      </c>
      <c r="Y195" s="30">
        <v>4</v>
      </c>
      <c r="Z195" s="30">
        <f>3+1</f>
        <v>4</v>
      </c>
      <c r="AA195" s="30">
        <v>3</v>
      </c>
      <c r="AB195" s="30">
        <v>1</v>
      </c>
      <c r="AC195" s="30">
        <v>0</v>
      </c>
      <c r="AD195" s="30">
        <f>0+10</f>
        <v>10</v>
      </c>
      <c r="AE195" s="30">
        <f>3+6</f>
        <v>9</v>
      </c>
      <c r="AF195" s="30">
        <v>8</v>
      </c>
      <c r="AG195" s="30">
        <f>7+1</f>
        <v>8</v>
      </c>
      <c r="AH195" s="30">
        <v>6</v>
      </c>
      <c r="AI195" s="30">
        <v>5</v>
      </c>
      <c r="AJ195" s="30">
        <f>4+10</f>
        <v>14</v>
      </c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</row>
    <row r="196" spans="1:69" ht="80.099999999999994" customHeight="1">
      <c r="A196" s="122" t="s">
        <v>8</v>
      </c>
      <c r="B196" s="74" t="s">
        <v>1054</v>
      </c>
      <c r="C196" s="78" t="s">
        <v>937</v>
      </c>
      <c r="D196" s="58" t="s">
        <v>474</v>
      </c>
      <c r="E196" s="94">
        <v>7</v>
      </c>
      <c r="F196" s="77" t="s">
        <v>475</v>
      </c>
      <c r="G196" s="25"/>
      <c r="H196" s="25"/>
      <c r="J196" s="30">
        <v>6</v>
      </c>
      <c r="K196" s="30">
        <v>6</v>
      </c>
      <c r="L196" s="30">
        <f>2+1</f>
        <v>3</v>
      </c>
      <c r="M196" s="30">
        <v>3</v>
      </c>
      <c r="N196" s="30">
        <v>3</v>
      </c>
      <c r="O196" s="30">
        <v>3</v>
      </c>
      <c r="P196" s="30">
        <v>4</v>
      </c>
      <c r="Q196" s="30">
        <f>3+1</f>
        <v>4</v>
      </c>
      <c r="R196" s="30">
        <f>1+1</f>
        <v>2</v>
      </c>
      <c r="S196" s="30">
        <v>1</v>
      </c>
      <c r="T196" s="30">
        <f>0+8</f>
        <v>8</v>
      </c>
      <c r="U196" s="30">
        <f>0+8</f>
        <v>8</v>
      </c>
      <c r="V196" s="30">
        <f>7+1</f>
        <v>8</v>
      </c>
      <c r="W196" s="30">
        <v>6</v>
      </c>
      <c r="X196" s="30">
        <v>5</v>
      </c>
      <c r="Y196" s="30">
        <v>5</v>
      </c>
      <c r="Z196" s="30">
        <v>4</v>
      </c>
      <c r="AA196" s="30">
        <f>3+1</f>
        <v>4</v>
      </c>
      <c r="AB196" s="30">
        <v>1</v>
      </c>
      <c r="AC196" s="30">
        <v>0</v>
      </c>
      <c r="AD196" s="30">
        <f>0+5</f>
        <v>5</v>
      </c>
      <c r="AE196" s="30">
        <f>1+4</f>
        <v>5</v>
      </c>
      <c r="AF196" s="30">
        <v>4</v>
      </c>
      <c r="AG196" s="30">
        <f>3+5</f>
        <v>8</v>
      </c>
      <c r="AH196" s="30">
        <f>2+5</f>
        <v>7</v>
      </c>
      <c r="AI196" s="30">
        <f>0+5</f>
        <v>5</v>
      </c>
      <c r="AJ196" s="30">
        <f>2+5+3</f>
        <v>10</v>
      </c>
    </row>
    <row r="197" spans="1:69" ht="80.099999999999994" customHeight="1">
      <c r="A197" s="122" t="s">
        <v>8</v>
      </c>
      <c r="B197" s="74" t="s">
        <v>1059</v>
      </c>
      <c r="C197" s="78" t="s">
        <v>477</v>
      </c>
      <c r="D197" s="58" t="s">
        <v>476</v>
      </c>
      <c r="E197" s="76">
        <v>8</v>
      </c>
      <c r="F197" s="77" t="s">
        <v>478</v>
      </c>
      <c r="G197" s="25"/>
      <c r="H197" s="25"/>
      <c r="J197" s="30">
        <v>5</v>
      </c>
      <c r="K197" s="30">
        <v>5</v>
      </c>
      <c r="L197" s="30">
        <v>5</v>
      </c>
      <c r="M197" s="30">
        <v>5</v>
      </c>
      <c r="N197" s="30">
        <v>5</v>
      </c>
      <c r="O197" s="30">
        <v>5</v>
      </c>
      <c r="P197" s="30">
        <v>5</v>
      </c>
      <c r="Q197" s="30">
        <v>5</v>
      </c>
      <c r="R197" s="30">
        <v>5</v>
      </c>
      <c r="S197" s="30">
        <v>5</v>
      </c>
      <c r="T197" s="30">
        <v>5</v>
      </c>
      <c r="U197" s="30">
        <v>5</v>
      </c>
      <c r="V197" s="30">
        <v>5</v>
      </c>
      <c r="W197" s="30">
        <v>5</v>
      </c>
      <c r="X197" s="30">
        <v>5</v>
      </c>
      <c r="Y197" s="30">
        <v>5</v>
      </c>
      <c r="Z197" s="30">
        <v>5</v>
      </c>
      <c r="AA197" s="30">
        <v>5</v>
      </c>
      <c r="AB197" s="30">
        <v>5</v>
      </c>
      <c r="AC197" s="30">
        <v>5</v>
      </c>
      <c r="AD197" s="30">
        <v>5</v>
      </c>
      <c r="AE197" s="30">
        <v>5</v>
      </c>
      <c r="AF197" s="30">
        <v>5</v>
      </c>
      <c r="AG197" s="30">
        <v>5</v>
      </c>
      <c r="AH197" s="30">
        <v>5</v>
      </c>
      <c r="AI197" s="30">
        <v>5</v>
      </c>
      <c r="AJ197" s="30">
        <v>5</v>
      </c>
    </row>
    <row r="198" spans="1:69" ht="80.099999999999994" customHeight="1">
      <c r="A198" s="127" t="s">
        <v>1406</v>
      </c>
      <c r="B198" s="86"/>
      <c r="C198" s="84" t="s">
        <v>480</v>
      </c>
      <c r="D198" s="58" t="s">
        <v>479</v>
      </c>
      <c r="E198" s="97"/>
      <c r="F198" s="77" t="s">
        <v>481</v>
      </c>
      <c r="G198" s="25"/>
      <c r="H198" s="25"/>
      <c r="J198" s="30">
        <v>5</v>
      </c>
      <c r="K198" s="30">
        <v>5</v>
      </c>
      <c r="L198" s="30">
        <v>5</v>
      </c>
      <c r="M198" s="30">
        <v>5</v>
      </c>
      <c r="N198" s="30">
        <v>5</v>
      </c>
      <c r="O198" s="30">
        <v>5</v>
      </c>
      <c r="P198" s="30">
        <v>5</v>
      </c>
      <c r="Q198" s="30">
        <v>5</v>
      </c>
      <c r="R198" s="30">
        <v>5</v>
      </c>
      <c r="S198" s="30">
        <v>5</v>
      </c>
      <c r="T198" s="30">
        <v>5</v>
      </c>
      <c r="U198" s="30">
        <v>5</v>
      </c>
      <c r="V198" s="30">
        <v>5</v>
      </c>
      <c r="W198" s="30">
        <v>5</v>
      </c>
      <c r="X198" s="30">
        <v>5</v>
      </c>
      <c r="Y198" s="30">
        <v>5</v>
      </c>
      <c r="Z198" s="30">
        <v>5</v>
      </c>
      <c r="AA198" s="30">
        <v>5</v>
      </c>
      <c r="AB198" s="30">
        <v>5</v>
      </c>
      <c r="AC198" s="30">
        <v>5</v>
      </c>
      <c r="AD198" s="30">
        <v>5</v>
      </c>
      <c r="AE198" s="30">
        <v>5</v>
      </c>
      <c r="AF198" s="30">
        <v>5</v>
      </c>
      <c r="AG198" s="30">
        <v>5</v>
      </c>
      <c r="AH198" s="30">
        <v>5</v>
      </c>
      <c r="AI198" s="30">
        <v>5</v>
      </c>
      <c r="AJ198" s="30">
        <v>5</v>
      </c>
    </row>
    <row r="199" spans="1:69" ht="80.099999999999994" customHeight="1">
      <c r="A199" s="122" t="s">
        <v>1436</v>
      </c>
      <c r="B199" s="74"/>
      <c r="C199" s="78" t="s">
        <v>1009</v>
      </c>
      <c r="D199" s="58" t="s">
        <v>482</v>
      </c>
      <c r="E199" s="76"/>
      <c r="F199" s="77" t="s">
        <v>483</v>
      </c>
      <c r="G199" s="25"/>
      <c r="H199" s="25"/>
      <c r="J199" s="30">
        <v>0</v>
      </c>
      <c r="K199" s="30">
        <v>0</v>
      </c>
      <c r="L199" s="30">
        <v>0</v>
      </c>
      <c r="M199" s="30">
        <v>0</v>
      </c>
      <c r="N199" s="30">
        <f>0+3</f>
        <v>3</v>
      </c>
      <c r="O199" s="30">
        <f>0+3</f>
        <v>3</v>
      </c>
      <c r="P199" s="30">
        <f>0+3</f>
        <v>3</v>
      </c>
      <c r="Q199" s="30">
        <f>0+3</f>
        <v>3</v>
      </c>
      <c r="R199" s="30">
        <f>0+3</f>
        <v>3</v>
      </c>
      <c r="S199" s="30">
        <f>0+3</f>
        <v>3</v>
      </c>
      <c r="T199" s="30">
        <v>3</v>
      </c>
      <c r="U199" s="30">
        <v>3</v>
      </c>
      <c r="V199" s="30">
        <v>2</v>
      </c>
      <c r="W199" s="30">
        <v>2</v>
      </c>
      <c r="X199" s="30">
        <v>2</v>
      </c>
      <c r="Y199" s="30">
        <v>1</v>
      </c>
      <c r="Z199" s="30"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f>0+10</f>
        <v>10</v>
      </c>
      <c r="AF199" s="30">
        <f>10</f>
        <v>10</v>
      </c>
      <c r="AG199" s="30">
        <v>10</v>
      </c>
      <c r="AH199" s="30">
        <v>9</v>
      </c>
      <c r="AI199" s="30">
        <v>9</v>
      </c>
      <c r="AJ199" s="30">
        <v>8</v>
      </c>
    </row>
    <row r="200" spans="1:69" ht="80.099999999999994" customHeight="1">
      <c r="A200" s="122" t="s">
        <v>8</v>
      </c>
      <c r="B200" s="74" t="s">
        <v>1054</v>
      </c>
      <c r="C200" s="78" t="s">
        <v>1010</v>
      </c>
      <c r="D200" s="58" t="s">
        <v>484</v>
      </c>
      <c r="E200" s="76">
        <v>9</v>
      </c>
      <c r="F200" s="77" t="s">
        <v>485</v>
      </c>
      <c r="G200" s="25"/>
      <c r="H200" s="25"/>
      <c r="J200" s="30">
        <v>9</v>
      </c>
      <c r="K200" s="30">
        <v>9</v>
      </c>
      <c r="L200" s="30">
        <v>9</v>
      </c>
      <c r="M200" s="30">
        <f>8+0</f>
        <v>8</v>
      </c>
      <c r="N200" s="30">
        <v>8</v>
      </c>
      <c r="O200" s="30">
        <f>7+1</f>
        <v>8</v>
      </c>
      <c r="P200" s="30">
        <v>7</v>
      </c>
      <c r="Q200" s="30">
        <v>7</v>
      </c>
      <c r="R200" s="30">
        <v>7</v>
      </c>
      <c r="S200" s="30">
        <v>7</v>
      </c>
      <c r="T200" s="30">
        <f>6</f>
        <v>6</v>
      </c>
      <c r="U200" s="30">
        <f>7</f>
        <v>7</v>
      </c>
      <c r="V200" s="30">
        <v>7</v>
      </c>
      <c r="W200" s="30">
        <v>7</v>
      </c>
      <c r="X200" s="30">
        <v>7</v>
      </c>
      <c r="Y200" s="30">
        <v>7</v>
      </c>
      <c r="Z200" s="30">
        <v>7</v>
      </c>
      <c r="AA200" s="30">
        <v>5</v>
      </c>
      <c r="AB200" s="30">
        <v>4</v>
      </c>
      <c r="AC200" s="30">
        <v>4</v>
      </c>
      <c r="AD200" s="30">
        <f>3+5</f>
        <v>8</v>
      </c>
      <c r="AE200" s="30">
        <f>4+3</f>
        <v>7</v>
      </c>
      <c r="AF200" s="30">
        <f>7+10</f>
        <v>17</v>
      </c>
      <c r="AG200" s="30">
        <f>9+7</f>
        <v>16</v>
      </c>
      <c r="AH200" s="30">
        <v>16</v>
      </c>
      <c r="AI200" s="30">
        <v>15</v>
      </c>
      <c r="AJ200" s="30">
        <v>15</v>
      </c>
    </row>
    <row r="201" spans="1:69" ht="80.099999999999994" customHeight="1">
      <c r="A201" s="128" t="s">
        <v>8</v>
      </c>
      <c r="B201" s="91" t="s">
        <v>1061</v>
      </c>
      <c r="C201" s="78" t="s">
        <v>938</v>
      </c>
      <c r="D201" s="108" t="s">
        <v>486</v>
      </c>
      <c r="E201" s="92">
        <v>9</v>
      </c>
      <c r="F201" s="77" t="s">
        <v>487</v>
      </c>
      <c r="G201" s="29"/>
      <c r="H201" s="29"/>
      <c r="J201" s="30">
        <f>4+1</f>
        <v>5</v>
      </c>
      <c r="K201" s="30">
        <v>3</v>
      </c>
      <c r="L201" s="30">
        <v>3</v>
      </c>
      <c r="M201" s="30">
        <f>1+1</f>
        <v>2</v>
      </c>
      <c r="N201" s="30">
        <v>2</v>
      </c>
      <c r="O201" s="30">
        <v>1</v>
      </c>
      <c r="P201" s="30">
        <v>1</v>
      </c>
      <c r="Q201" s="30">
        <f>0+5+1</f>
        <v>6</v>
      </c>
      <c r="R201" s="30">
        <f>4</f>
        <v>4</v>
      </c>
      <c r="S201" s="30">
        <f>3</f>
        <v>3</v>
      </c>
      <c r="T201" s="30">
        <f>1+10+1</f>
        <v>12</v>
      </c>
      <c r="U201" s="30">
        <f>0+10</f>
        <v>10</v>
      </c>
      <c r="V201" s="30">
        <f>7</f>
        <v>7</v>
      </c>
      <c r="W201" s="30">
        <v>7</v>
      </c>
      <c r="X201" s="30">
        <f>6+0</f>
        <v>6</v>
      </c>
      <c r="Y201" s="30">
        <v>6</v>
      </c>
      <c r="Z201" s="30">
        <f>6+10</f>
        <v>16</v>
      </c>
      <c r="AA201" s="30">
        <v>15</v>
      </c>
      <c r="AB201" s="30">
        <v>14</v>
      </c>
      <c r="AC201" s="30">
        <f>12+1</f>
        <v>13</v>
      </c>
      <c r="AD201" s="30">
        <v>11</v>
      </c>
      <c r="AE201" s="30">
        <f>11+6</f>
        <v>17</v>
      </c>
      <c r="AF201" s="30">
        <f>10+6</f>
        <v>16</v>
      </c>
      <c r="AG201" s="30">
        <v>10</v>
      </c>
      <c r="AH201" s="30">
        <f>13+3</f>
        <v>16</v>
      </c>
      <c r="AI201" s="30">
        <f>14+2</f>
        <v>16</v>
      </c>
      <c r="AJ201" s="30">
        <f>13+1</f>
        <v>14</v>
      </c>
    </row>
    <row r="202" spans="1:69" ht="80.099999999999994" customHeight="1">
      <c r="A202" s="90" t="s">
        <v>1404</v>
      </c>
      <c r="B202" s="88"/>
      <c r="C202" s="84" t="s">
        <v>981</v>
      </c>
      <c r="D202" s="58" t="s">
        <v>488</v>
      </c>
      <c r="E202" s="112"/>
      <c r="F202" s="77" t="s">
        <v>489</v>
      </c>
      <c r="G202" s="25"/>
      <c r="H202" s="25"/>
      <c r="J202" s="30">
        <v>4</v>
      </c>
      <c r="K202" s="30">
        <v>3</v>
      </c>
      <c r="L202" s="30">
        <v>3</v>
      </c>
      <c r="M202" s="30">
        <f>1+1</f>
        <v>2</v>
      </c>
      <c r="N202" s="30">
        <f>0+6</f>
        <v>6</v>
      </c>
      <c r="O202" s="30">
        <f>0+6</f>
        <v>6</v>
      </c>
      <c r="P202" s="30">
        <f>0+6</f>
        <v>6</v>
      </c>
      <c r="Q202" s="30">
        <f>0+11</f>
        <v>11</v>
      </c>
      <c r="R202" s="30">
        <f>3+5</f>
        <v>8</v>
      </c>
      <c r="S202" s="30">
        <f>3+5</f>
        <v>8</v>
      </c>
      <c r="T202" s="30">
        <f>7+10</f>
        <v>17</v>
      </c>
      <c r="U202" s="30">
        <f>7+10</f>
        <v>17</v>
      </c>
      <c r="V202" s="30">
        <v>17</v>
      </c>
      <c r="W202" s="30">
        <f>12+1</f>
        <v>13</v>
      </c>
      <c r="X202" s="30">
        <f>9+1</f>
        <v>10</v>
      </c>
      <c r="Y202" s="30">
        <f>8+0</f>
        <v>8</v>
      </c>
      <c r="Z202" s="30">
        <f>6+10+1</f>
        <v>17</v>
      </c>
      <c r="AA202" s="30">
        <v>16</v>
      </c>
      <c r="AB202" s="30">
        <v>16</v>
      </c>
      <c r="AC202" s="30">
        <v>16</v>
      </c>
      <c r="AD202" s="30">
        <v>16</v>
      </c>
      <c r="AE202" s="30">
        <v>16</v>
      </c>
      <c r="AF202" s="30">
        <f>14+2</f>
        <v>16</v>
      </c>
      <c r="AG202" s="30">
        <v>15</v>
      </c>
      <c r="AH202" s="30">
        <v>12</v>
      </c>
      <c r="AI202" s="30">
        <v>12</v>
      </c>
      <c r="AJ202" s="30">
        <v>11</v>
      </c>
    </row>
    <row r="203" spans="1:69" ht="80.099999999999994" customHeight="1">
      <c r="A203" s="122" t="s">
        <v>8</v>
      </c>
      <c r="B203" s="74" t="s">
        <v>1068</v>
      </c>
      <c r="C203" s="78" t="s">
        <v>491</v>
      </c>
      <c r="D203" s="58" t="s">
        <v>490</v>
      </c>
      <c r="E203" s="76">
        <v>8</v>
      </c>
      <c r="F203" s="77" t="s">
        <v>492</v>
      </c>
      <c r="G203" s="25"/>
      <c r="H203" s="25"/>
      <c r="J203" s="30">
        <v>17</v>
      </c>
      <c r="K203" s="30">
        <v>17</v>
      </c>
      <c r="L203" s="30">
        <f>16+1</f>
        <v>17</v>
      </c>
      <c r="M203" s="30">
        <v>15</v>
      </c>
      <c r="N203" s="30">
        <v>15</v>
      </c>
      <c r="O203" s="30">
        <v>14</v>
      </c>
      <c r="P203" s="30">
        <v>14</v>
      </c>
      <c r="Q203" s="30">
        <v>12</v>
      </c>
      <c r="R203" s="30">
        <f>10+2</f>
        <v>12</v>
      </c>
      <c r="S203" s="30">
        <v>10</v>
      </c>
      <c r="T203" s="30">
        <v>10</v>
      </c>
      <c r="U203" s="30">
        <v>10</v>
      </c>
      <c r="V203" s="30">
        <v>9</v>
      </c>
      <c r="W203" s="30">
        <f>4+1</f>
        <v>5</v>
      </c>
      <c r="X203" s="30">
        <f>3+1</f>
        <v>4</v>
      </c>
      <c r="Y203" s="30">
        <v>3</v>
      </c>
      <c r="Z203" s="30">
        <f>3+10</f>
        <v>13</v>
      </c>
      <c r="AA203" s="30">
        <v>13</v>
      </c>
      <c r="AB203" s="30">
        <f>11+1</f>
        <v>12</v>
      </c>
      <c r="AC203" s="30">
        <f>8+2</f>
        <v>10</v>
      </c>
      <c r="AD203" s="30">
        <v>8</v>
      </c>
      <c r="AE203" s="30">
        <f>8+10</f>
        <v>18</v>
      </c>
      <c r="AF203" s="30">
        <f>7+10</f>
        <v>17</v>
      </c>
      <c r="AG203" s="30">
        <f>5</f>
        <v>5</v>
      </c>
      <c r="AH203" s="30">
        <f>9+7</f>
        <v>16</v>
      </c>
      <c r="AI203" s="30">
        <f>11+5</f>
        <v>16</v>
      </c>
      <c r="AJ203" s="30">
        <f>15+1</f>
        <v>16</v>
      </c>
    </row>
    <row r="204" spans="1:69" ht="80.099999999999994" customHeight="1">
      <c r="A204" s="122" t="s">
        <v>1436</v>
      </c>
      <c r="B204" s="74" t="s">
        <v>1062</v>
      </c>
      <c r="C204" s="78" t="s">
        <v>494</v>
      </c>
      <c r="D204" s="58" t="s">
        <v>493</v>
      </c>
      <c r="E204" s="76"/>
      <c r="F204" s="77" t="s">
        <v>495</v>
      </c>
      <c r="G204" s="25"/>
      <c r="H204" s="25"/>
      <c r="J204" s="30">
        <v>11</v>
      </c>
      <c r="K204" s="30">
        <v>11</v>
      </c>
      <c r="L204" s="30">
        <v>11</v>
      </c>
      <c r="M204" s="30">
        <v>10</v>
      </c>
      <c r="N204" s="30">
        <f>5+3</f>
        <v>8</v>
      </c>
      <c r="O204" s="30">
        <v>3</v>
      </c>
      <c r="P204" s="30">
        <v>3</v>
      </c>
      <c r="Q204" s="30">
        <f>1+10+1</f>
        <v>12</v>
      </c>
      <c r="R204" s="30">
        <v>10</v>
      </c>
      <c r="S204" s="30">
        <f>9+1</f>
        <v>10</v>
      </c>
      <c r="T204" s="30">
        <v>9</v>
      </c>
      <c r="U204" s="30">
        <v>8</v>
      </c>
      <c r="V204" s="30">
        <f>7+1</f>
        <v>8</v>
      </c>
      <c r="W204" s="30">
        <v>7</v>
      </c>
      <c r="X204" s="30">
        <v>5</v>
      </c>
      <c r="Y204" s="30">
        <v>5</v>
      </c>
      <c r="Z204" s="30">
        <f>4+10+1</f>
        <v>15</v>
      </c>
      <c r="AA204" s="30">
        <v>13</v>
      </c>
      <c r="AB204" s="30">
        <v>13</v>
      </c>
      <c r="AC204" s="30">
        <v>13</v>
      </c>
      <c r="AD204" s="30">
        <f>9+1</f>
        <v>10</v>
      </c>
      <c r="AE204" s="30">
        <f>10</f>
        <v>10</v>
      </c>
      <c r="AF204" s="30">
        <v>9</v>
      </c>
      <c r="AG204" s="30">
        <v>9</v>
      </c>
      <c r="AH204" s="30">
        <f>5+2</f>
        <v>7</v>
      </c>
      <c r="AI204" s="30">
        <f>6+1</f>
        <v>7</v>
      </c>
      <c r="AJ204" s="30">
        <f>5+1</f>
        <v>6</v>
      </c>
    </row>
    <row r="205" spans="1:69" ht="80.099999999999994" customHeight="1">
      <c r="A205" s="122" t="s">
        <v>1406</v>
      </c>
      <c r="B205" s="74"/>
      <c r="C205" s="78" t="s">
        <v>497</v>
      </c>
      <c r="D205" s="58" t="s">
        <v>496</v>
      </c>
      <c r="E205" s="76"/>
      <c r="F205" s="77" t="s">
        <v>498</v>
      </c>
      <c r="G205" s="25"/>
      <c r="H205" s="25"/>
      <c r="J205" s="30">
        <v>7</v>
      </c>
      <c r="K205" s="30">
        <v>7</v>
      </c>
      <c r="L205" s="30">
        <v>7</v>
      </c>
      <c r="M205" s="30">
        <v>7</v>
      </c>
      <c r="N205" s="30">
        <v>7</v>
      </c>
      <c r="O205" s="30">
        <v>7</v>
      </c>
      <c r="P205" s="30">
        <v>7</v>
      </c>
      <c r="Q205" s="30">
        <v>7</v>
      </c>
      <c r="R205" s="30">
        <v>7</v>
      </c>
      <c r="S205" s="30">
        <v>7</v>
      </c>
      <c r="T205" s="30">
        <v>7</v>
      </c>
      <c r="U205" s="30">
        <v>7</v>
      </c>
      <c r="V205" s="30">
        <v>7</v>
      </c>
      <c r="W205" s="30">
        <v>7</v>
      </c>
      <c r="X205" s="30">
        <v>7</v>
      </c>
      <c r="Y205" s="30">
        <f>5+1</f>
        <v>6</v>
      </c>
      <c r="Z205" s="30">
        <v>6</v>
      </c>
      <c r="AA205" s="30">
        <v>6</v>
      </c>
      <c r="AB205" s="30">
        <v>6</v>
      </c>
      <c r="AC205" s="30">
        <v>6</v>
      </c>
      <c r="AD205" s="30">
        <v>6</v>
      </c>
      <c r="AE205" s="30">
        <v>6</v>
      </c>
      <c r="AF205" s="30">
        <v>6</v>
      </c>
      <c r="AG205" s="30">
        <v>6</v>
      </c>
      <c r="AH205" s="30">
        <v>6</v>
      </c>
      <c r="AI205" s="30">
        <v>6</v>
      </c>
      <c r="AJ205" s="30">
        <v>6</v>
      </c>
    </row>
    <row r="206" spans="1:69" ht="80.099999999999994" customHeight="1">
      <c r="A206" s="122" t="s">
        <v>1439</v>
      </c>
      <c r="B206" s="74"/>
      <c r="C206" s="75" t="s">
        <v>1169</v>
      </c>
      <c r="D206" s="56" t="s">
        <v>1168</v>
      </c>
      <c r="E206" s="80"/>
      <c r="F206" s="81" t="s">
        <v>1199</v>
      </c>
      <c r="G206" s="23"/>
      <c r="H206" s="25"/>
      <c r="I206" s="49"/>
      <c r="AI206" s="30">
        <v>0</v>
      </c>
      <c r="AJ206" s="30">
        <f>0+2</f>
        <v>2</v>
      </c>
    </row>
    <row r="207" spans="1:69" ht="80.099999999999994" customHeight="1">
      <c r="A207" s="125" t="s">
        <v>8</v>
      </c>
      <c r="B207" s="79" t="s">
        <v>1062</v>
      </c>
      <c r="C207" s="78" t="s">
        <v>939</v>
      </c>
      <c r="D207" s="58" t="s">
        <v>499</v>
      </c>
      <c r="E207" s="94">
        <v>6</v>
      </c>
      <c r="F207" s="77" t="s">
        <v>500</v>
      </c>
      <c r="G207" s="25"/>
      <c r="H207" s="25"/>
      <c r="J207" s="30">
        <f>36+4</f>
        <v>40</v>
      </c>
      <c r="K207" s="30">
        <f>34+3</f>
        <v>37</v>
      </c>
      <c r="L207" s="30">
        <f>30+2</f>
        <v>32</v>
      </c>
      <c r="M207" s="30">
        <v>32</v>
      </c>
      <c r="N207" s="30">
        <f>22+2</f>
        <v>24</v>
      </c>
      <c r="O207" s="30">
        <f>21+1</f>
        <v>22</v>
      </c>
      <c r="P207" s="30">
        <f>19+2</f>
        <v>21</v>
      </c>
      <c r="Q207" s="30">
        <f>16+10+1</f>
        <v>27</v>
      </c>
      <c r="R207" s="30">
        <f>8+10+4</f>
        <v>22</v>
      </c>
      <c r="S207" s="30">
        <f>5+10+2</f>
        <v>17</v>
      </c>
      <c r="T207" s="30">
        <f>13+20+2</f>
        <v>35</v>
      </c>
      <c r="U207" s="30">
        <f>12+20+1</f>
        <v>33</v>
      </c>
      <c r="V207" s="30">
        <f>9+40</f>
        <v>49</v>
      </c>
      <c r="W207" s="30">
        <f>25+6</f>
        <v>31</v>
      </c>
      <c r="X207" s="30">
        <f>23+1</f>
        <v>24</v>
      </c>
      <c r="Y207" s="30">
        <f>20+2</f>
        <v>22</v>
      </c>
      <c r="Z207" s="30">
        <f>19+30+3</f>
        <v>52</v>
      </c>
      <c r="AA207" s="30">
        <f>18+31</f>
        <v>49</v>
      </c>
      <c r="AB207" s="30">
        <f>30+14</f>
        <v>44</v>
      </c>
      <c r="AC207" s="30">
        <f>37+1</f>
        <v>38</v>
      </c>
      <c r="AD207" s="30">
        <v>36</v>
      </c>
      <c r="AE207" s="30">
        <f>26+20+1</f>
        <v>47</v>
      </c>
      <c r="AF207" s="30">
        <f>19+20+3</f>
        <v>42</v>
      </c>
      <c r="AG207" s="30">
        <v>20</v>
      </c>
      <c r="AH207" s="30">
        <f>19+18</f>
        <v>37</v>
      </c>
      <c r="AI207" s="30">
        <f>24+11</f>
        <v>35</v>
      </c>
      <c r="AJ207" s="30">
        <f>29+5</f>
        <v>34</v>
      </c>
    </row>
    <row r="208" spans="1:69" ht="80.099999999999994" customHeight="1">
      <c r="A208" s="122" t="s">
        <v>1436</v>
      </c>
      <c r="B208" s="74" t="s">
        <v>1059</v>
      </c>
      <c r="C208" s="78" t="s">
        <v>502</v>
      </c>
      <c r="D208" s="58" t="s">
        <v>501</v>
      </c>
      <c r="E208" s="76"/>
      <c r="F208" s="77" t="s">
        <v>503</v>
      </c>
      <c r="G208" s="25"/>
      <c r="H208" s="25"/>
      <c r="J208" s="30">
        <v>2</v>
      </c>
      <c r="K208" s="30">
        <v>2</v>
      </c>
      <c r="L208" s="30">
        <v>2</v>
      </c>
      <c r="M208" s="30">
        <v>2</v>
      </c>
      <c r="N208" s="30">
        <v>2</v>
      </c>
      <c r="O208" s="30">
        <v>2</v>
      </c>
      <c r="P208" s="30">
        <v>2</v>
      </c>
      <c r="Q208" s="30">
        <v>2</v>
      </c>
      <c r="R208" s="30">
        <f>1+1</f>
        <v>2</v>
      </c>
      <c r="S208" s="30">
        <v>1</v>
      </c>
      <c r="T208" s="30">
        <v>1</v>
      </c>
      <c r="U208" s="30">
        <v>1</v>
      </c>
      <c r="V208" s="30">
        <f>1+3</f>
        <v>4</v>
      </c>
      <c r="W208" s="30">
        <v>4</v>
      </c>
      <c r="X208" s="30">
        <v>3</v>
      </c>
      <c r="Y208" s="30">
        <v>3</v>
      </c>
      <c r="Z208" s="30">
        <v>3</v>
      </c>
      <c r="AA208" s="30">
        <v>3</v>
      </c>
      <c r="AB208" s="30">
        <v>3</v>
      </c>
      <c r="AC208" s="30">
        <v>3</v>
      </c>
      <c r="AD208" s="30">
        <v>3</v>
      </c>
      <c r="AE208" s="30">
        <v>3</v>
      </c>
      <c r="AF208" s="30">
        <v>3</v>
      </c>
      <c r="AG208" s="30">
        <v>3</v>
      </c>
      <c r="AH208" s="30">
        <v>2</v>
      </c>
      <c r="AI208" s="30">
        <v>2</v>
      </c>
      <c r="AJ208" s="30">
        <f>2+2</f>
        <v>4</v>
      </c>
    </row>
    <row r="209" spans="1:36" ht="80.099999999999994" customHeight="1">
      <c r="A209" s="122" t="s">
        <v>1436</v>
      </c>
      <c r="B209" s="74" t="s">
        <v>1054</v>
      </c>
      <c r="C209" s="78" t="s">
        <v>505</v>
      </c>
      <c r="D209" s="58" t="s">
        <v>504</v>
      </c>
      <c r="E209" s="76"/>
      <c r="F209" s="77" t="s">
        <v>506</v>
      </c>
      <c r="G209" s="25"/>
      <c r="H209" s="25"/>
      <c r="J209" s="30">
        <f>0</f>
        <v>0</v>
      </c>
      <c r="K209" s="30">
        <v>0</v>
      </c>
      <c r="L209" s="30">
        <v>0</v>
      </c>
      <c r="M209" s="30">
        <v>0</v>
      </c>
      <c r="N209" s="30">
        <f>0+10</f>
        <v>10</v>
      </c>
      <c r="O209" s="30">
        <f>0+10</f>
        <v>10</v>
      </c>
      <c r="P209" s="30">
        <f>0+10</f>
        <v>10</v>
      </c>
      <c r="Q209" s="30">
        <f>0+10</f>
        <v>10</v>
      </c>
      <c r="R209" s="30">
        <f>0+9+1</f>
        <v>10</v>
      </c>
      <c r="S209" s="30">
        <f>0+9</f>
        <v>9</v>
      </c>
      <c r="T209" s="30">
        <v>8</v>
      </c>
      <c r="U209" s="30">
        <v>8</v>
      </c>
      <c r="V209" s="30">
        <f>6+10</f>
        <v>16</v>
      </c>
      <c r="W209" s="30">
        <f>8+2</f>
        <v>10</v>
      </c>
      <c r="X209" s="30">
        <v>9</v>
      </c>
      <c r="Y209" s="30">
        <f>8+0</f>
        <v>8</v>
      </c>
      <c r="Z209" s="30">
        <v>8</v>
      </c>
      <c r="AA209" s="30">
        <v>9</v>
      </c>
      <c r="AB209" s="30">
        <v>8</v>
      </c>
      <c r="AC209" s="30">
        <v>7</v>
      </c>
      <c r="AD209" s="30">
        <v>6</v>
      </c>
      <c r="AE209" s="30">
        <v>5</v>
      </c>
      <c r="AF209" s="30">
        <f>5+10</f>
        <v>15</v>
      </c>
      <c r="AG209" s="30">
        <v>14</v>
      </c>
      <c r="AH209" s="30">
        <v>14</v>
      </c>
      <c r="AI209" s="30">
        <v>14</v>
      </c>
      <c r="AJ209" s="30">
        <f>12+1</f>
        <v>13</v>
      </c>
    </row>
    <row r="210" spans="1:36" ht="80.099999999999994" customHeight="1">
      <c r="A210" s="127" t="s">
        <v>17</v>
      </c>
      <c r="B210" s="86"/>
      <c r="C210" s="78" t="s">
        <v>1011</v>
      </c>
      <c r="D210" s="58" t="s">
        <v>507</v>
      </c>
      <c r="E210" s="76"/>
      <c r="F210" s="77" t="s">
        <v>508</v>
      </c>
      <c r="G210" s="25"/>
      <c r="H210" s="25"/>
      <c r="J210" s="30">
        <v>6</v>
      </c>
      <c r="K210" s="30">
        <v>6</v>
      </c>
      <c r="L210" s="30">
        <v>6</v>
      </c>
      <c r="M210" s="30">
        <v>5</v>
      </c>
      <c r="N210" s="30">
        <v>3</v>
      </c>
      <c r="O210" s="30">
        <v>2</v>
      </c>
      <c r="P210" s="30">
        <f>1+1</f>
        <v>2</v>
      </c>
      <c r="Q210" s="30">
        <f>1+5</f>
        <v>6</v>
      </c>
      <c r="R210" s="30">
        <v>6</v>
      </c>
      <c r="S210" s="30">
        <v>6</v>
      </c>
      <c r="T210" s="30">
        <f>4+1</f>
        <v>5</v>
      </c>
      <c r="U210" s="30">
        <v>2</v>
      </c>
      <c r="V210" s="30">
        <v>1</v>
      </c>
      <c r="W210" s="30">
        <v>0</v>
      </c>
      <c r="X210" s="30">
        <f>0+10</f>
        <v>10</v>
      </c>
      <c r="Y210" s="30">
        <v>9</v>
      </c>
      <c r="Z210" s="30">
        <f>8+1</f>
        <v>9</v>
      </c>
      <c r="AA210" s="30">
        <v>4</v>
      </c>
      <c r="AB210" s="30">
        <v>3</v>
      </c>
      <c r="AC210" s="30">
        <v>3</v>
      </c>
      <c r="AD210" s="30">
        <f>2+10</f>
        <v>12</v>
      </c>
      <c r="AE210" s="30">
        <f>4+6</f>
        <v>10</v>
      </c>
      <c r="AF210" s="30">
        <v>8</v>
      </c>
      <c r="AG210" s="30">
        <v>8</v>
      </c>
      <c r="AH210" s="30">
        <v>7</v>
      </c>
      <c r="AI210" s="30">
        <v>7</v>
      </c>
      <c r="AJ210" s="30">
        <f>7+10</f>
        <v>17</v>
      </c>
    </row>
    <row r="211" spans="1:36" ht="80.099999999999994" customHeight="1">
      <c r="A211" s="125" t="s">
        <v>17</v>
      </c>
      <c r="B211" s="79"/>
      <c r="C211" s="75" t="s">
        <v>877</v>
      </c>
      <c r="D211" s="58" t="s">
        <v>882</v>
      </c>
      <c r="E211" s="76"/>
      <c r="F211" s="99" t="s">
        <v>509</v>
      </c>
      <c r="G211" s="25"/>
      <c r="H211" s="43"/>
      <c r="J211" s="46">
        <f>133+314+252</f>
        <v>699</v>
      </c>
      <c r="K211" s="46">
        <f>116+112+392</f>
        <v>620</v>
      </c>
      <c r="L211" s="46">
        <f>83+337</f>
        <v>420</v>
      </c>
      <c r="M211" s="46">
        <f>23+301</f>
        <v>324</v>
      </c>
      <c r="N211" s="46">
        <f>0+80+222</f>
        <v>302</v>
      </c>
      <c r="O211" s="46">
        <f>0+80+186</f>
        <v>266</v>
      </c>
      <c r="P211" s="46">
        <f>3+80+163</f>
        <v>246</v>
      </c>
      <c r="Q211" s="46">
        <f>0+336+95</f>
        <v>431</v>
      </c>
      <c r="R211" s="46">
        <f>0+256+73</f>
        <v>329</v>
      </c>
      <c r="S211" s="46">
        <f>0+756+10</f>
        <v>766</v>
      </c>
      <c r="T211" s="46">
        <f>360+80+351</f>
        <v>791</v>
      </c>
      <c r="U211" s="46">
        <f>358+80+354</f>
        <v>792</v>
      </c>
      <c r="V211" s="46">
        <f>330+80+326</f>
        <v>736</v>
      </c>
      <c r="W211" s="46">
        <f>387+600+80</f>
        <v>1067</v>
      </c>
      <c r="X211" s="46">
        <f>427+556</f>
        <v>983</v>
      </c>
      <c r="Y211" s="46">
        <f>645+303</f>
        <v>948</v>
      </c>
      <c r="Z211" s="46">
        <f>640+200+279</f>
        <v>1119</v>
      </c>
      <c r="AA211" s="46">
        <f>831+210</f>
        <v>1041</v>
      </c>
      <c r="AB211" s="46">
        <f>825+150</f>
        <v>975</v>
      </c>
      <c r="AC211" s="46">
        <f>859+23</f>
        <v>882</v>
      </c>
      <c r="AD211" s="46">
        <f>787+19</f>
        <v>806</v>
      </c>
      <c r="AE211" s="46">
        <f>707+100+18</f>
        <v>825</v>
      </c>
      <c r="AF211" s="46">
        <f>584+100+26</f>
        <v>710</v>
      </c>
      <c r="AG211" s="46">
        <f>536+200+105</f>
        <v>841</v>
      </c>
      <c r="AH211" s="46">
        <f>530+400+39</f>
        <v>969</v>
      </c>
      <c r="AI211" s="46">
        <f>525+418</f>
        <v>943</v>
      </c>
      <c r="AJ211" s="46">
        <f>545+365</f>
        <v>910</v>
      </c>
    </row>
    <row r="212" spans="1:36" ht="80.099999999999994" customHeight="1">
      <c r="A212" s="125" t="s">
        <v>17</v>
      </c>
      <c r="B212" s="79" t="s">
        <v>1062</v>
      </c>
      <c r="C212" s="78" t="s">
        <v>940</v>
      </c>
      <c r="D212" s="58" t="s">
        <v>510</v>
      </c>
      <c r="E212" s="76"/>
      <c r="F212" s="99" t="s">
        <v>511</v>
      </c>
      <c r="G212" s="25"/>
      <c r="H212" s="25"/>
      <c r="J212" s="30">
        <f>1+4</f>
        <v>5</v>
      </c>
      <c r="K212" s="30">
        <f>0+4</f>
        <v>4</v>
      </c>
      <c r="L212" s="30">
        <f>0+4</f>
        <v>4</v>
      </c>
      <c r="M212" s="30">
        <f>0+4</f>
        <v>4</v>
      </c>
      <c r="N212" s="30">
        <f>0+14</f>
        <v>14</v>
      </c>
      <c r="O212" s="30">
        <f>0+14</f>
        <v>14</v>
      </c>
      <c r="P212" s="30">
        <f>3+10</f>
        <v>13</v>
      </c>
      <c r="Q212" s="30">
        <f>1+10+1</f>
        <v>12</v>
      </c>
      <c r="R212" s="30">
        <f>2+9</f>
        <v>11</v>
      </c>
      <c r="S212" s="30">
        <f>1+9</f>
        <v>10</v>
      </c>
      <c r="T212" s="30">
        <f>10+10</f>
        <v>20</v>
      </c>
      <c r="U212" s="30">
        <f>10+10</f>
        <v>20</v>
      </c>
      <c r="V212" s="30">
        <v>20</v>
      </c>
      <c r="W212" s="30">
        <v>15</v>
      </c>
      <c r="X212" s="30">
        <v>15</v>
      </c>
      <c r="Y212" s="30">
        <f>14+0</f>
        <v>14</v>
      </c>
      <c r="Z212" s="30">
        <f>10+2</f>
        <v>12</v>
      </c>
      <c r="AA212" s="30">
        <v>10</v>
      </c>
      <c r="AB212" s="30">
        <v>9</v>
      </c>
      <c r="AC212" s="30">
        <v>7</v>
      </c>
      <c r="AD212" s="30">
        <f>6+10</f>
        <v>16</v>
      </c>
      <c r="AE212" s="30">
        <f>10+6</f>
        <v>16</v>
      </c>
      <c r="AF212" s="30">
        <f>13+1</f>
        <v>14</v>
      </c>
      <c r="AG212" s="30">
        <v>13</v>
      </c>
      <c r="AH212" s="30">
        <v>13</v>
      </c>
      <c r="AI212" s="30">
        <v>13</v>
      </c>
      <c r="AJ212" s="30">
        <v>14</v>
      </c>
    </row>
    <row r="213" spans="1:36" ht="80.099999999999994" customHeight="1">
      <c r="A213" s="125" t="s">
        <v>17</v>
      </c>
      <c r="B213" s="79" t="s">
        <v>1059</v>
      </c>
      <c r="C213" s="78" t="s">
        <v>941</v>
      </c>
      <c r="D213" s="58" t="s">
        <v>512</v>
      </c>
      <c r="E213" s="76"/>
      <c r="F213" s="99" t="s">
        <v>513</v>
      </c>
      <c r="G213" s="25"/>
      <c r="H213" s="25"/>
      <c r="J213" s="30">
        <f>2+8+1</f>
        <v>11</v>
      </c>
      <c r="K213" s="30">
        <f>6+3</f>
        <v>9</v>
      </c>
      <c r="L213" s="30">
        <f>6+3</f>
        <v>9</v>
      </c>
      <c r="M213" s="30">
        <f>4+3+1</f>
        <v>8</v>
      </c>
      <c r="N213" s="30">
        <f>2+13+2</f>
        <v>17</v>
      </c>
      <c r="O213" s="30">
        <f>0+13</f>
        <v>13</v>
      </c>
      <c r="P213" s="30">
        <f>2+10+1</f>
        <v>13</v>
      </c>
      <c r="Q213" s="30">
        <f>2+10</f>
        <v>12</v>
      </c>
      <c r="R213" s="30">
        <f>1+8</f>
        <v>9</v>
      </c>
      <c r="S213" s="30">
        <f>2+8</f>
        <v>10</v>
      </c>
      <c r="T213" s="30">
        <f>9+10</f>
        <v>19</v>
      </c>
      <c r="U213" s="30">
        <f>9+10</f>
        <v>19</v>
      </c>
      <c r="V213" s="30">
        <v>19</v>
      </c>
      <c r="W213" s="30">
        <v>17</v>
      </c>
      <c r="X213" s="30">
        <v>15</v>
      </c>
      <c r="Y213" s="30">
        <v>14</v>
      </c>
      <c r="Z213" s="30">
        <f>12+2</f>
        <v>14</v>
      </c>
      <c r="AA213" s="30">
        <v>12</v>
      </c>
      <c r="AB213" s="30">
        <v>12</v>
      </c>
      <c r="AC213" s="30">
        <v>11</v>
      </c>
      <c r="AD213" s="30">
        <f>8+10</f>
        <v>18</v>
      </c>
      <c r="AE213" s="30">
        <f>7+8</f>
        <v>15</v>
      </c>
      <c r="AF213" s="30">
        <v>15</v>
      </c>
      <c r="AG213" s="30">
        <f>14+1</f>
        <v>15</v>
      </c>
      <c r="AH213" s="30">
        <v>11</v>
      </c>
      <c r="AI213" s="30">
        <f>8+2</f>
        <v>10</v>
      </c>
      <c r="AJ213" s="30">
        <f>8+2</f>
        <v>10</v>
      </c>
    </row>
    <row r="214" spans="1:36" ht="80.099999999999994" customHeight="1">
      <c r="A214" s="125" t="s">
        <v>17</v>
      </c>
      <c r="B214" s="79" t="s">
        <v>1054</v>
      </c>
      <c r="C214" s="75" t="s">
        <v>942</v>
      </c>
      <c r="D214" s="58" t="s">
        <v>878</v>
      </c>
      <c r="E214" s="76"/>
      <c r="F214" s="99" t="s">
        <v>514</v>
      </c>
      <c r="G214" s="25"/>
      <c r="H214" s="25"/>
      <c r="J214" s="30">
        <f>378+220+63</f>
        <v>661</v>
      </c>
      <c r="K214" s="30">
        <f>345+86+150</f>
        <v>581</v>
      </c>
      <c r="L214" s="30">
        <f>318+138</f>
        <v>456</v>
      </c>
      <c r="M214" s="30">
        <f>295+226</f>
        <v>521</v>
      </c>
      <c r="N214" s="30">
        <f>246+215</f>
        <v>461</v>
      </c>
      <c r="O214" s="30">
        <f>248+134</f>
        <v>382</v>
      </c>
      <c r="P214" s="30">
        <f>244+122</f>
        <v>366</v>
      </c>
      <c r="Q214" s="30">
        <f>215+400+100</f>
        <v>715</v>
      </c>
      <c r="R214" s="30">
        <f>203+400+31</f>
        <v>634</v>
      </c>
      <c r="S214" s="30">
        <f>156+600+18</f>
        <v>774</v>
      </c>
      <c r="T214" s="30">
        <f>337+85+406</f>
        <v>828</v>
      </c>
      <c r="U214" s="30">
        <f>307+85+412</f>
        <v>804</v>
      </c>
      <c r="V214" s="30">
        <f>294+85+407</f>
        <v>786</v>
      </c>
      <c r="W214" s="30">
        <f>633+500+38</f>
        <v>1171</v>
      </c>
      <c r="X214" s="30">
        <f>663+444</f>
        <v>1107</v>
      </c>
      <c r="Y214" s="30">
        <f>688+396</f>
        <v>1084</v>
      </c>
      <c r="Z214" s="30">
        <f>745+322</f>
        <v>1067</v>
      </c>
      <c r="AA214" s="30">
        <f>1025+25</f>
        <v>1050</v>
      </c>
      <c r="AB214" s="30">
        <f>978+22</f>
        <v>1000</v>
      </c>
      <c r="AC214" s="30">
        <f>922+12</f>
        <v>934</v>
      </c>
      <c r="AD214" s="30">
        <f>863+16</f>
        <v>879</v>
      </c>
      <c r="AE214" s="30">
        <f>839+4</f>
        <v>843</v>
      </c>
      <c r="AF214" s="30">
        <f>769+6</f>
        <v>775</v>
      </c>
      <c r="AG214" s="30">
        <f>720+100+12</f>
        <v>832</v>
      </c>
      <c r="AH214" s="30">
        <f>663+200+6</f>
        <v>869</v>
      </c>
      <c r="AI214" s="30">
        <f>640+204</f>
        <v>844</v>
      </c>
      <c r="AJ214" s="30">
        <f>641+178</f>
        <v>819</v>
      </c>
    </row>
    <row r="215" spans="1:36" ht="80.099999999999994" customHeight="1">
      <c r="A215" s="125" t="s">
        <v>17</v>
      </c>
      <c r="B215" s="79" t="s">
        <v>1415</v>
      </c>
      <c r="C215" s="78" t="s">
        <v>982</v>
      </c>
      <c r="D215" s="96" t="s">
        <v>515</v>
      </c>
      <c r="E215" s="76"/>
      <c r="F215" s="99" t="s">
        <v>517</v>
      </c>
      <c r="G215" s="25"/>
      <c r="H215" s="25"/>
      <c r="J215" s="30">
        <f>1+3+2</f>
        <v>6</v>
      </c>
      <c r="K215" s="30">
        <v>4</v>
      </c>
      <c r="L215" s="30">
        <v>3</v>
      </c>
      <c r="M215" s="30">
        <v>3</v>
      </c>
      <c r="N215" s="30">
        <f>3+10</f>
        <v>13</v>
      </c>
      <c r="O215" s="30">
        <f>1+10+0</f>
        <v>11</v>
      </c>
      <c r="P215" s="30">
        <f>1+10</f>
        <v>11</v>
      </c>
      <c r="Q215" s="30">
        <f>1+10</f>
        <v>11</v>
      </c>
      <c r="R215" s="30">
        <f>1+10</f>
        <v>11</v>
      </c>
      <c r="S215" s="30">
        <f>1+10</f>
        <v>11</v>
      </c>
      <c r="T215" s="30">
        <v>11</v>
      </c>
      <c r="U215" s="30">
        <v>10</v>
      </c>
      <c r="V215" s="30">
        <v>10</v>
      </c>
      <c r="W215" s="30">
        <v>9</v>
      </c>
      <c r="X215" s="30">
        <v>8</v>
      </c>
      <c r="Y215" s="30">
        <v>7</v>
      </c>
      <c r="Z215" s="30">
        <f>7+5</f>
        <v>12</v>
      </c>
      <c r="AA215" s="30">
        <v>12</v>
      </c>
      <c r="AB215" s="30">
        <v>12</v>
      </c>
      <c r="AC215" s="30">
        <f>10</f>
        <v>10</v>
      </c>
      <c r="AD215" s="30">
        <v>10</v>
      </c>
      <c r="AE215" s="30">
        <v>9</v>
      </c>
      <c r="AF215" s="30">
        <v>5</v>
      </c>
      <c r="AG215" s="30">
        <f>4+10</f>
        <v>14</v>
      </c>
      <c r="AH215" s="30">
        <f>3+10</f>
        <v>13</v>
      </c>
      <c r="AI215" s="30">
        <f>5+9</f>
        <v>14</v>
      </c>
      <c r="AJ215" s="30">
        <f>7+6</f>
        <v>13</v>
      </c>
    </row>
    <row r="216" spans="1:36" ht="80.099999999999994" customHeight="1">
      <c r="A216" s="125" t="s">
        <v>17</v>
      </c>
      <c r="B216" s="79" t="s">
        <v>1062</v>
      </c>
      <c r="C216" s="78" t="s">
        <v>943</v>
      </c>
      <c r="D216" s="58" t="s">
        <v>518</v>
      </c>
      <c r="E216" s="76"/>
      <c r="F216" s="99" t="s">
        <v>519</v>
      </c>
      <c r="G216" s="25"/>
      <c r="H216" s="25"/>
      <c r="J216" s="30">
        <f>4+4</f>
        <v>8</v>
      </c>
      <c r="K216" s="30">
        <f>4+4</f>
        <v>8</v>
      </c>
      <c r="L216" s="30">
        <f>3+4</f>
        <v>7</v>
      </c>
      <c r="M216" s="30">
        <f>4+3</f>
        <v>7</v>
      </c>
      <c r="N216" s="30">
        <f>3+4</f>
        <v>7</v>
      </c>
      <c r="O216" s="30">
        <f>3+4</f>
        <v>7</v>
      </c>
      <c r="P216" s="30">
        <v>7</v>
      </c>
      <c r="Q216" s="30">
        <f>6</f>
        <v>6</v>
      </c>
      <c r="R216" s="30">
        <f>3+2</f>
        <v>5</v>
      </c>
      <c r="S216" s="30">
        <v>3</v>
      </c>
      <c r="T216" s="30">
        <f>3+10</f>
        <v>13</v>
      </c>
      <c r="U216" s="30">
        <f>3+10</f>
        <v>13</v>
      </c>
      <c r="V216" s="30">
        <f>12+1</f>
        <v>13</v>
      </c>
      <c r="W216" s="30">
        <f>11+0</f>
        <v>11</v>
      </c>
      <c r="X216" s="30">
        <f>9+0</f>
        <v>9</v>
      </c>
      <c r="Y216" s="30">
        <v>9</v>
      </c>
      <c r="Z216" s="30">
        <v>8</v>
      </c>
      <c r="AA216" s="30">
        <v>9</v>
      </c>
      <c r="AB216" s="30">
        <v>9</v>
      </c>
      <c r="AC216" s="30">
        <v>8</v>
      </c>
      <c r="AD216" s="30">
        <f>8+10</f>
        <v>18</v>
      </c>
      <c r="AE216" s="30">
        <f>10+7</f>
        <v>17</v>
      </c>
      <c r="AF216" s="30">
        <f>13+1</f>
        <v>14</v>
      </c>
      <c r="AG216" s="30">
        <f>13+5</f>
        <v>18</v>
      </c>
      <c r="AH216" s="30">
        <f>13+5</f>
        <v>18</v>
      </c>
      <c r="AI216" s="30">
        <f>14+4</f>
        <v>18</v>
      </c>
      <c r="AJ216" s="30">
        <f>15+3</f>
        <v>18</v>
      </c>
    </row>
    <row r="217" spans="1:36" ht="80.099999999999994" customHeight="1">
      <c r="A217" s="125" t="s">
        <v>17</v>
      </c>
      <c r="B217" s="79" t="s">
        <v>1054</v>
      </c>
      <c r="C217" s="78" t="s">
        <v>944</v>
      </c>
      <c r="D217" s="58" t="s">
        <v>520</v>
      </c>
      <c r="E217" s="76"/>
      <c r="F217" s="99" t="s">
        <v>521</v>
      </c>
      <c r="G217" s="25"/>
      <c r="H217" s="25"/>
      <c r="J217" s="30">
        <f>4+5</f>
        <v>9</v>
      </c>
      <c r="K217" s="30">
        <f>4+5</f>
        <v>9</v>
      </c>
      <c r="L217" s="30">
        <f>4+5</f>
        <v>9</v>
      </c>
      <c r="M217" s="30">
        <f>4+5</f>
        <v>9</v>
      </c>
      <c r="N217" s="30">
        <f>4+5</f>
        <v>9</v>
      </c>
      <c r="O217" s="30">
        <f>3+5</f>
        <v>8</v>
      </c>
      <c r="P217" s="30">
        <v>8</v>
      </c>
      <c r="Q217" s="30">
        <v>8</v>
      </c>
      <c r="R217" s="30">
        <f>5+1</f>
        <v>6</v>
      </c>
      <c r="S217" s="30">
        <v>5</v>
      </c>
      <c r="T217" s="30">
        <f>3+10+1</f>
        <v>14</v>
      </c>
      <c r="U217" s="30">
        <f>3+10</f>
        <v>13</v>
      </c>
      <c r="V217" s="30">
        <v>13</v>
      </c>
      <c r="W217" s="30">
        <v>12</v>
      </c>
      <c r="X217" s="30">
        <v>11</v>
      </c>
      <c r="Y217" s="30">
        <f>9+0</f>
        <v>9</v>
      </c>
      <c r="Z217" s="30">
        <f>8+0</f>
        <v>8</v>
      </c>
      <c r="AA217" s="30">
        <v>8</v>
      </c>
      <c r="AB217" s="30">
        <f>5+2</f>
        <v>7</v>
      </c>
      <c r="AC217" s="30">
        <v>5</v>
      </c>
      <c r="AD217" s="30">
        <f>4+2</f>
        <v>6</v>
      </c>
      <c r="AE217" s="30">
        <v>7</v>
      </c>
      <c r="AF217" s="30">
        <v>6</v>
      </c>
      <c r="AG217" s="30">
        <v>5</v>
      </c>
      <c r="AH217" s="30">
        <f>4+10</f>
        <v>14</v>
      </c>
      <c r="AI217" s="30">
        <f>5+9</f>
        <v>14</v>
      </c>
      <c r="AJ217" s="30">
        <f>7+8</f>
        <v>15</v>
      </c>
    </row>
    <row r="218" spans="1:36" ht="80.099999999999994" customHeight="1">
      <c r="A218" s="125" t="s">
        <v>17</v>
      </c>
      <c r="B218" s="79" t="s">
        <v>1069</v>
      </c>
      <c r="C218" s="78" t="s">
        <v>1307</v>
      </c>
      <c r="D218" s="58" t="s">
        <v>522</v>
      </c>
      <c r="E218" s="76"/>
      <c r="F218" s="99" t="s">
        <v>523</v>
      </c>
      <c r="G218" s="25"/>
      <c r="H218" s="25"/>
      <c r="J218" s="30">
        <f>11+11+1</f>
        <v>23</v>
      </c>
      <c r="K218" s="30">
        <f>12+13</f>
        <v>25</v>
      </c>
      <c r="L218" s="30">
        <f>14+11</f>
        <v>25</v>
      </c>
      <c r="M218" s="30">
        <f>11+12</f>
        <v>23</v>
      </c>
      <c r="N218" s="30">
        <f>8+12</f>
        <v>20</v>
      </c>
      <c r="O218" s="30">
        <f>9+8</f>
        <v>17</v>
      </c>
      <c r="P218" s="30">
        <f>10+6</f>
        <v>16</v>
      </c>
      <c r="Q218" s="30">
        <f>12+10+3</f>
        <v>25</v>
      </c>
      <c r="R218" s="30">
        <f>9+10</f>
        <v>19</v>
      </c>
      <c r="S218" s="30">
        <f>8+10</f>
        <v>18</v>
      </c>
      <c r="T218" s="30">
        <f>10+20+10</f>
        <v>40</v>
      </c>
      <c r="U218" s="30">
        <f>6+20+11</f>
        <v>37</v>
      </c>
      <c r="V218" s="30">
        <f>7+20+10</f>
        <v>37</v>
      </c>
      <c r="W218" s="30">
        <f>19+4</f>
        <v>23</v>
      </c>
      <c r="X218" s="30">
        <f>17+3</f>
        <v>20</v>
      </c>
      <c r="Y218" s="30">
        <f>14+4</f>
        <v>18</v>
      </c>
      <c r="Z218" s="30">
        <f>12+20+4</f>
        <v>36</v>
      </c>
      <c r="AA218" s="30">
        <f>28+3</f>
        <v>31</v>
      </c>
      <c r="AB218" s="30">
        <v>28</v>
      </c>
      <c r="AC218" s="30">
        <f>25+1</f>
        <v>26</v>
      </c>
      <c r="AD218" s="30">
        <f>25+1</f>
        <v>26</v>
      </c>
      <c r="AE218" s="30">
        <f>23+1</f>
        <v>24</v>
      </c>
      <c r="AF218" s="30">
        <f>18</f>
        <v>18</v>
      </c>
      <c r="AG218" s="30">
        <f>11+10</f>
        <v>21</v>
      </c>
      <c r="AH218" s="30">
        <f>9+10+2</f>
        <v>21</v>
      </c>
      <c r="AI218" s="30">
        <f>10+10</f>
        <v>20</v>
      </c>
      <c r="AJ218" s="30">
        <f>13+7</f>
        <v>20</v>
      </c>
    </row>
    <row r="219" spans="1:36" ht="80.099999999999994" customHeight="1">
      <c r="A219" s="125" t="s">
        <v>17</v>
      </c>
      <c r="B219" s="79" t="s">
        <v>1054</v>
      </c>
      <c r="C219" s="78" t="s">
        <v>945</v>
      </c>
      <c r="D219" s="58" t="s">
        <v>524</v>
      </c>
      <c r="E219" s="76"/>
      <c r="F219" s="99" t="s">
        <v>525</v>
      </c>
      <c r="G219" s="25"/>
      <c r="H219" s="25"/>
      <c r="J219" s="37">
        <f>14+8+5</f>
        <v>27</v>
      </c>
      <c r="K219" s="37">
        <f>12+11</f>
        <v>23</v>
      </c>
      <c r="L219" s="37">
        <f>11+10</f>
        <v>21</v>
      </c>
      <c r="M219" s="37">
        <f>7+11</f>
        <v>18</v>
      </c>
      <c r="N219" s="37">
        <f>6+8</f>
        <v>14</v>
      </c>
      <c r="O219" s="37">
        <f>6+6</f>
        <v>12</v>
      </c>
      <c r="P219" s="37">
        <f>7+6</f>
        <v>13</v>
      </c>
      <c r="Q219" s="37">
        <f>4+20+7</f>
        <v>31</v>
      </c>
      <c r="R219" s="37">
        <f>0+20+3</f>
        <v>23</v>
      </c>
      <c r="S219" s="37">
        <f>0+20+2</f>
        <v>22</v>
      </c>
      <c r="T219" s="37">
        <f>0+20+24</f>
        <v>44</v>
      </c>
      <c r="U219" s="37">
        <f>0+20+23</f>
        <v>43</v>
      </c>
      <c r="V219" s="37">
        <f>0+20+22</f>
        <v>42</v>
      </c>
      <c r="W219" s="37">
        <f>22+5</f>
        <v>27</v>
      </c>
      <c r="X219" s="37">
        <f>19+0</f>
        <v>19</v>
      </c>
      <c r="Y219" s="37">
        <f>17+0</f>
        <v>17</v>
      </c>
      <c r="Z219" s="37">
        <f>17+20+3</f>
        <v>40</v>
      </c>
      <c r="AA219" s="37">
        <f>33+2</f>
        <v>35</v>
      </c>
      <c r="AB219" s="37">
        <f>25+4</f>
        <v>29</v>
      </c>
      <c r="AC219" s="37">
        <f>23+2</f>
        <v>25</v>
      </c>
      <c r="AD219" s="37">
        <f>18+3</f>
        <v>21</v>
      </c>
      <c r="AE219" s="37">
        <f>14+1</f>
        <v>15</v>
      </c>
      <c r="AF219" s="37">
        <f>13+20+1</f>
        <v>34</v>
      </c>
      <c r="AG219" s="37">
        <f>19+8</f>
        <v>27</v>
      </c>
      <c r="AH219" s="37">
        <f>22+2</f>
        <v>24</v>
      </c>
      <c r="AI219" s="37">
        <f>20+1</f>
        <v>21</v>
      </c>
      <c r="AJ219" s="37">
        <f>15+2</f>
        <v>17</v>
      </c>
    </row>
    <row r="220" spans="1:36" ht="72.75" customHeight="1">
      <c r="A220" s="125" t="s">
        <v>17</v>
      </c>
      <c r="B220" s="79" t="s">
        <v>1062</v>
      </c>
      <c r="C220" s="75" t="s">
        <v>946</v>
      </c>
      <c r="D220" s="58" t="s">
        <v>526</v>
      </c>
      <c r="E220" s="76"/>
      <c r="F220" s="99" t="s">
        <v>527</v>
      </c>
      <c r="G220" s="25"/>
      <c r="H220" s="25"/>
      <c r="J220" s="30">
        <f>17+1</f>
        <v>18</v>
      </c>
      <c r="K220" s="30">
        <v>17</v>
      </c>
      <c r="L220" s="30">
        <v>16</v>
      </c>
      <c r="M220" s="30">
        <v>16</v>
      </c>
      <c r="N220" s="30">
        <f>11+1</f>
        <v>12</v>
      </c>
      <c r="O220" s="30">
        <v>9</v>
      </c>
      <c r="P220" s="30">
        <f>8+0</f>
        <v>8</v>
      </c>
      <c r="Q220" s="30">
        <f>8+10</f>
        <v>18</v>
      </c>
      <c r="R220" s="30">
        <f>11</f>
        <v>11</v>
      </c>
      <c r="S220" s="30">
        <v>11</v>
      </c>
      <c r="T220" s="30">
        <f>9+10+0</f>
        <v>19</v>
      </c>
      <c r="U220" s="30">
        <f>9+10</f>
        <v>19</v>
      </c>
      <c r="V220" s="30">
        <v>19</v>
      </c>
      <c r="W220" s="30">
        <v>15</v>
      </c>
      <c r="X220" s="30">
        <v>12</v>
      </c>
      <c r="Y220" s="30">
        <v>11</v>
      </c>
      <c r="Z220" s="30">
        <f>11+10</f>
        <v>21</v>
      </c>
      <c r="AA220" s="30">
        <f>21</f>
        <v>21</v>
      </c>
      <c r="AB220" s="30">
        <v>21</v>
      </c>
      <c r="AC220" s="30">
        <f>17+2</f>
        <v>19</v>
      </c>
      <c r="AD220" s="30">
        <f>17+1</f>
        <v>18</v>
      </c>
      <c r="AE220" s="30">
        <f>16+1</f>
        <v>17</v>
      </c>
      <c r="AF220" s="30">
        <f>12+10</f>
        <v>22</v>
      </c>
      <c r="AG220" s="30">
        <v>22</v>
      </c>
      <c r="AH220" s="30">
        <v>21</v>
      </c>
      <c r="AI220" s="30">
        <v>20</v>
      </c>
      <c r="AJ220" s="30">
        <v>18</v>
      </c>
    </row>
    <row r="221" spans="1:36" ht="80.099999999999994" customHeight="1">
      <c r="A221" s="126" t="s">
        <v>17</v>
      </c>
      <c r="B221" s="83" t="s">
        <v>1063</v>
      </c>
      <c r="C221" s="59" t="s">
        <v>1416</v>
      </c>
      <c r="D221" s="58" t="s">
        <v>528</v>
      </c>
      <c r="E221" s="92"/>
      <c r="F221" s="99" t="s">
        <v>529</v>
      </c>
      <c r="G221" s="29"/>
      <c r="H221" s="29"/>
      <c r="J221" s="32">
        <f>0+18</f>
        <v>18</v>
      </c>
      <c r="K221" s="32">
        <f>0+18</f>
        <v>18</v>
      </c>
      <c r="L221" s="32">
        <f>0+18</f>
        <v>18</v>
      </c>
      <c r="M221" s="32">
        <f>0+18</f>
        <v>18</v>
      </c>
      <c r="N221" s="32">
        <f>0+18</f>
        <v>18</v>
      </c>
      <c r="O221" s="32">
        <f>0+18</f>
        <v>18</v>
      </c>
      <c r="P221" s="32">
        <v>17</v>
      </c>
      <c r="Q221" s="32">
        <f>16+0</f>
        <v>16</v>
      </c>
      <c r="R221" s="32">
        <v>16</v>
      </c>
      <c r="S221" s="32">
        <v>15</v>
      </c>
      <c r="T221" s="32">
        <f>12+3</f>
        <v>15</v>
      </c>
      <c r="U221" s="32">
        <v>12</v>
      </c>
      <c r="V221" s="32">
        <v>11</v>
      </c>
      <c r="W221" s="32">
        <f>8+0</f>
        <v>8</v>
      </c>
      <c r="X221" s="32">
        <v>6</v>
      </c>
      <c r="Y221" s="32">
        <v>7</v>
      </c>
      <c r="Z221" s="32">
        <f>5+10+1</f>
        <v>16</v>
      </c>
      <c r="AA221" s="32">
        <f>13+2</f>
        <v>15</v>
      </c>
      <c r="AB221" s="30">
        <v>13</v>
      </c>
      <c r="AC221" s="30">
        <f>7+2</f>
        <v>9</v>
      </c>
      <c r="AD221" s="30">
        <f>6+1+10</f>
        <v>17</v>
      </c>
      <c r="AE221" s="30">
        <f>10+6</f>
        <v>16</v>
      </c>
      <c r="AF221" s="30">
        <f>13+1</f>
        <v>14</v>
      </c>
      <c r="AG221" s="30">
        <f>13+10</f>
        <v>23</v>
      </c>
      <c r="AH221" s="30">
        <f>12+10</f>
        <v>22</v>
      </c>
      <c r="AI221" s="30">
        <f>11+10</f>
        <v>21</v>
      </c>
      <c r="AJ221" s="30">
        <v>11</v>
      </c>
    </row>
    <row r="222" spans="1:36" ht="80.099999999999994" customHeight="1">
      <c r="A222" s="125" t="s">
        <v>17</v>
      </c>
      <c r="B222" s="79" t="s">
        <v>1054</v>
      </c>
      <c r="C222" s="75" t="s">
        <v>531</v>
      </c>
      <c r="D222" s="58" t="s">
        <v>530</v>
      </c>
      <c r="E222" s="76"/>
      <c r="F222" s="99" t="s">
        <v>532</v>
      </c>
      <c r="G222" s="25"/>
      <c r="H222" s="25"/>
      <c r="J222" s="32">
        <v>0</v>
      </c>
      <c r="K222" s="32">
        <f>0+6</f>
        <v>6</v>
      </c>
      <c r="L222" s="32">
        <f>0+8</f>
        <v>8</v>
      </c>
      <c r="M222" s="32">
        <f>0+7</f>
        <v>7</v>
      </c>
      <c r="N222" s="32">
        <f>0+5</f>
        <v>5</v>
      </c>
      <c r="O222" s="32">
        <f>2+3</f>
        <v>5</v>
      </c>
      <c r="P222" s="32">
        <f>0+4</f>
        <v>4</v>
      </c>
      <c r="Q222" s="32">
        <f>0+1</f>
        <v>1</v>
      </c>
      <c r="R222" s="32">
        <v>0</v>
      </c>
      <c r="S222" s="32">
        <f>0+30</f>
        <v>30</v>
      </c>
      <c r="T222" s="32">
        <f>26+2</f>
        <v>28</v>
      </c>
      <c r="U222" s="32">
        <f>21</f>
        <v>21</v>
      </c>
      <c r="V222" s="32">
        <f>18+1</f>
        <v>19</v>
      </c>
      <c r="W222" s="32">
        <f>6+3</f>
        <v>9</v>
      </c>
      <c r="X222" s="32">
        <f>2+1</f>
        <v>3</v>
      </c>
      <c r="Y222" s="32">
        <v>0</v>
      </c>
      <c r="Z222" s="32">
        <f>1+16</f>
        <v>17</v>
      </c>
      <c r="AA222" s="32">
        <f>14+2</f>
        <v>16</v>
      </c>
      <c r="AB222" s="30">
        <f>9+2</f>
        <v>11</v>
      </c>
      <c r="AC222" s="30">
        <v>6</v>
      </c>
      <c r="AD222" s="30">
        <v>0</v>
      </c>
      <c r="AE222" s="30">
        <v>0</v>
      </c>
      <c r="AF222" s="30">
        <f>0+1</f>
        <v>1</v>
      </c>
      <c r="AG222" s="30">
        <f>0+1</f>
        <v>1</v>
      </c>
      <c r="AH222" s="30">
        <v>1</v>
      </c>
      <c r="AI222" s="30">
        <f>0+1</f>
        <v>1</v>
      </c>
      <c r="AJ222" s="30">
        <v>1</v>
      </c>
    </row>
    <row r="223" spans="1:36" ht="80.099999999999994" customHeight="1">
      <c r="A223" s="125" t="s">
        <v>17</v>
      </c>
      <c r="B223" s="79"/>
      <c r="C223" s="75" t="s">
        <v>1132</v>
      </c>
      <c r="D223" s="56" t="s">
        <v>1131</v>
      </c>
      <c r="E223" s="76"/>
      <c r="F223" s="81" t="s">
        <v>1141</v>
      </c>
      <c r="G223" s="25"/>
      <c r="H223" s="25"/>
      <c r="I223" s="30" t="s">
        <v>21</v>
      </c>
      <c r="AI223" s="30">
        <v>0</v>
      </c>
      <c r="AJ223" s="30">
        <f>0+10</f>
        <v>10</v>
      </c>
    </row>
    <row r="224" spans="1:36" ht="80.099999999999994" customHeight="1">
      <c r="A224" s="125" t="s">
        <v>17</v>
      </c>
      <c r="B224" s="79" t="s">
        <v>1068</v>
      </c>
      <c r="C224" s="75" t="s">
        <v>534</v>
      </c>
      <c r="D224" s="58" t="s">
        <v>533</v>
      </c>
      <c r="E224" s="76"/>
      <c r="F224" s="99" t="s">
        <v>535</v>
      </c>
      <c r="G224" s="25"/>
      <c r="H224" s="25"/>
      <c r="J224" s="30">
        <f>16+1</f>
        <v>17</v>
      </c>
      <c r="K224" s="30">
        <f>16+1</f>
        <v>17</v>
      </c>
      <c r="L224" s="30">
        <v>16</v>
      </c>
      <c r="M224" s="30">
        <f>12+2</f>
        <v>14</v>
      </c>
      <c r="N224" s="30">
        <v>11</v>
      </c>
      <c r="O224" s="30">
        <f>9+0</f>
        <v>9</v>
      </c>
      <c r="P224" s="30">
        <v>10</v>
      </c>
      <c r="Q224" s="30">
        <f>9+10+1</f>
        <v>20</v>
      </c>
      <c r="R224" s="30">
        <f>17+1</f>
        <v>18</v>
      </c>
      <c r="S224" s="30">
        <v>17</v>
      </c>
      <c r="T224" s="30">
        <f>15+1</f>
        <v>16</v>
      </c>
      <c r="U224" s="30">
        <v>14</v>
      </c>
      <c r="V224" s="30">
        <v>15</v>
      </c>
      <c r="W224" s="30">
        <v>11</v>
      </c>
      <c r="X224" s="30">
        <v>10</v>
      </c>
      <c r="Y224" s="30">
        <v>8</v>
      </c>
      <c r="Z224" s="30">
        <f>8+10</f>
        <v>18</v>
      </c>
      <c r="AA224" s="30">
        <v>18</v>
      </c>
      <c r="AB224" s="30">
        <v>16</v>
      </c>
      <c r="AC224" s="30">
        <v>16</v>
      </c>
      <c r="AD224" s="30">
        <f>14</f>
        <v>14</v>
      </c>
      <c r="AE224" s="30">
        <v>14</v>
      </c>
      <c r="AF224" s="30">
        <v>13</v>
      </c>
      <c r="AG224" s="30">
        <v>11</v>
      </c>
      <c r="AH224" s="30">
        <f>9+10</f>
        <v>19</v>
      </c>
      <c r="AI224" s="30">
        <f>8+10</f>
        <v>18</v>
      </c>
      <c r="AJ224" s="30">
        <f>9+8</f>
        <v>17</v>
      </c>
    </row>
    <row r="225" spans="1:69" ht="80.099999999999994" customHeight="1">
      <c r="A225" s="125" t="s">
        <v>17</v>
      </c>
      <c r="B225" s="79" t="s">
        <v>1069</v>
      </c>
      <c r="C225" s="78" t="s">
        <v>537</v>
      </c>
      <c r="D225" s="58" t="s">
        <v>536</v>
      </c>
      <c r="E225" s="76"/>
      <c r="F225" s="99" t="s">
        <v>538</v>
      </c>
      <c r="G225" s="25"/>
      <c r="H225" s="25"/>
      <c r="J225" s="30">
        <v>13</v>
      </c>
      <c r="K225" s="30">
        <v>13</v>
      </c>
      <c r="L225" s="30">
        <f>10+1</f>
        <v>11</v>
      </c>
      <c r="M225" s="30">
        <v>12</v>
      </c>
      <c r="N225" s="30">
        <v>11</v>
      </c>
      <c r="O225" s="30">
        <v>9</v>
      </c>
      <c r="P225" s="30">
        <v>9</v>
      </c>
      <c r="Q225" s="30">
        <f>9+10</f>
        <v>19</v>
      </c>
      <c r="R225" s="30">
        <v>18</v>
      </c>
      <c r="S225" s="30">
        <v>17</v>
      </c>
      <c r="T225" s="30">
        <v>17</v>
      </c>
      <c r="U225" s="30">
        <v>17</v>
      </c>
      <c r="V225" s="30">
        <f>12+1</f>
        <v>13</v>
      </c>
      <c r="W225" s="30">
        <v>11</v>
      </c>
      <c r="X225" s="30">
        <v>10</v>
      </c>
      <c r="Y225" s="30">
        <v>11</v>
      </c>
      <c r="Z225" s="30">
        <f>11+10</f>
        <v>21</v>
      </c>
      <c r="AA225" s="30">
        <f>19+1</f>
        <v>20</v>
      </c>
      <c r="AB225" s="30">
        <v>16</v>
      </c>
      <c r="AC225" s="30">
        <v>19</v>
      </c>
      <c r="AD225" s="30">
        <v>19</v>
      </c>
      <c r="AE225" s="30">
        <v>18</v>
      </c>
      <c r="AF225" s="30">
        <v>18</v>
      </c>
      <c r="AG225" s="30">
        <v>18</v>
      </c>
      <c r="AH225" s="30">
        <f>15+1</f>
        <v>16</v>
      </c>
      <c r="AI225" s="30">
        <v>16</v>
      </c>
      <c r="AJ225" s="30">
        <v>15</v>
      </c>
    </row>
    <row r="226" spans="1:69" s="32" customFormat="1" ht="80.099999999999994" customHeight="1">
      <c r="A226" s="125" t="s">
        <v>17</v>
      </c>
      <c r="B226" s="79" t="s">
        <v>1054</v>
      </c>
      <c r="C226" s="78" t="s">
        <v>540</v>
      </c>
      <c r="D226" s="58" t="s">
        <v>539</v>
      </c>
      <c r="E226" s="76"/>
      <c r="F226" s="99" t="s">
        <v>541</v>
      </c>
      <c r="G226" s="25"/>
      <c r="H226" s="25"/>
      <c r="I226" s="23"/>
      <c r="J226" s="30">
        <f>7+10+1</f>
        <v>18</v>
      </c>
      <c r="K226" s="30">
        <f>7+10</f>
        <v>17</v>
      </c>
      <c r="L226" s="30">
        <f>7+10</f>
        <v>17</v>
      </c>
      <c r="M226" s="30">
        <f>7+10</f>
        <v>17</v>
      </c>
      <c r="N226" s="30">
        <f>5+10</f>
        <v>15</v>
      </c>
      <c r="O226" s="30">
        <f>2+10+1</f>
        <v>13</v>
      </c>
      <c r="P226" s="30">
        <v>12</v>
      </c>
      <c r="Q226" s="30">
        <f>12+10</f>
        <v>22</v>
      </c>
      <c r="R226" s="30">
        <f>9+10+2</f>
        <v>21</v>
      </c>
      <c r="S226" s="30">
        <f>8+10</f>
        <v>18</v>
      </c>
      <c r="T226" s="30">
        <f>7+11</f>
        <v>18</v>
      </c>
      <c r="U226" s="30">
        <f>5+10</f>
        <v>15</v>
      </c>
      <c r="V226" s="30">
        <f>6+10</f>
        <v>16</v>
      </c>
      <c r="W226" s="30">
        <f>8+1</f>
        <v>9</v>
      </c>
      <c r="X226" s="30">
        <v>8</v>
      </c>
      <c r="Y226" s="30">
        <v>7</v>
      </c>
      <c r="Z226" s="30">
        <f>7+10</f>
        <v>17</v>
      </c>
      <c r="AA226" s="30">
        <f>14+0</f>
        <v>14</v>
      </c>
      <c r="AB226" s="30">
        <v>19</v>
      </c>
      <c r="AC226" s="30">
        <f>8+1</f>
        <v>9</v>
      </c>
      <c r="AD226" s="30">
        <f>8+1</f>
        <v>9</v>
      </c>
      <c r="AE226" s="30">
        <f>5+10</f>
        <v>15</v>
      </c>
      <c r="AF226" s="30">
        <f>1+10</f>
        <v>11</v>
      </c>
      <c r="AG226" s="30">
        <f>3+10+8</f>
        <v>21</v>
      </c>
      <c r="AH226" s="30">
        <f>8+9+3</f>
        <v>20</v>
      </c>
      <c r="AI226" s="30">
        <f>12+9</f>
        <v>21</v>
      </c>
      <c r="AJ226" s="30">
        <f>13+8</f>
        <v>21</v>
      </c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</row>
    <row r="227" spans="1:69" ht="80.099999999999994" customHeight="1">
      <c r="A227" s="125" t="s">
        <v>17</v>
      </c>
      <c r="B227" s="79" t="s">
        <v>1054</v>
      </c>
      <c r="C227" s="78" t="s">
        <v>543</v>
      </c>
      <c r="D227" s="58" t="s">
        <v>542</v>
      </c>
      <c r="E227" s="76"/>
      <c r="F227" s="99" t="s">
        <v>544</v>
      </c>
      <c r="G227" s="25"/>
      <c r="H227" s="25"/>
      <c r="J227" s="30">
        <v>5</v>
      </c>
      <c r="K227" s="30">
        <v>5</v>
      </c>
      <c r="L227" s="30">
        <v>5</v>
      </c>
      <c r="M227" s="30">
        <v>5</v>
      </c>
      <c r="N227" s="30">
        <v>4</v>
      </c>
      <c r="O227" s="30">
        <v>4</v>
      </c>
      <c r="P227" s="30">
        <v>4</v>
      </c>
      <c r="Q227" s="30">
        <f>4</f>
        <v>4</v>
      </c>
      <c r="R227" s="30">
        <v>4</v>
      </c>
      <c r="S227" s="30">
        <v>4</v>
      </c>
      <c r="T227" s="30">
        <v>4</v>
      </c>
      <c r="U227" s="30">
        <v>5</v>
      </c>
      <c r="V227" s="30">
        <v>5</v>
      </c>
      <c r="W227" s="30">
        <v>0</v>
      </c>
      <c r="X227" s="30">
        <f>0+10</f>
        <v>10</v>
      </c>
      <c r="Y227" s="30">
        <v>10</v>
      </c>
      <c r="Z227" s="30">
        <v>10</v>
      </c>
      <c r="AA227" s="30">
        <v>10</v>
      </c>
      <c r="AB227" s="30">
        <v>10</v>
      </c>
      <c r="AC227" s="30">
        <v>10</v>
      </c>
      <c r="AD227" s="30">
        <v>10</v>
      </c>
      <c r="AE227" s="30">
        <v>10</v>
      </c>
      <c r="AF227" s="30">
        <v>10</v>
      </c>
      <c r="AG227" s="30">
        <v>10</v>
      </c>
      <c r="AH227" s="30">
        <v>10</v>
      </c>
      <c r="AI227" s="30">
        <v>10</v>
      </c>
      <c r="AJ227" s="30">
        <v>10</v>
      </c>
    </row>
    <row r="228" spans="1:69" ht="80.099999999999994" customHeight="1">
      <c r="A228" s="125" t="s">
        <v>17</v>
      </c>
      <c r="B228" s="79"/>
      <c r="C228" s="75" t="s">
        <v>1134</v>
      </c>
      <c r="D228" s="56" t="s">
        <v>1133</v>
      </c>
      <c r="E228" s="76"/>
      <c r="F228" s="81" t="s">
        <v>1142</v>
      </c>
      <c r="G228" s="25"/>
      <c r="H228" s="25"/>
      <c r="I228" s="30" t="s">
        <v>21</v>
      </c>
      <c r="AI228" s="30">
        <v>0</v>
      </c>
      <c r="AJ228" s="30">
        <f>0+5</f>
        <v>5</v>
      </c>
    </row>
    <row r="229" spans="1:69" ht="80.099999999999994" customHeight="1">
      <c r="A229" s="125" t="s">
        <v>17</v>
      </c>
      <c r="B229" s="79" t="s">
        <v>1054</v>
      </c>
      <c r="C229" s="78" t="s">
        <v>546</v>
      </c>
      <c r="D229" s="58" t="s">
        <v>545</v>
      </c>
      <c r="E229" s="76"/>
      <c r="F229" s="99" t="s">
        <v>547</v>
      </c>
      <c r="G229" s="25"/>
      <c r="H229" s="25"/>
      <c r="J229" s="32">
        <v>0</v>
      </c>
      <c r="K229" s="32">
        <v>0</v>
      </c>
      <c r="L229" s="32">
        <v>0</v>
      </c>
      <c r="M229" s="32">
        <v>0</v>
      </c>
      <c r="N229" s="32">
        <f>0+4</f>
        <v>4</v>
      </c>
      <c r="O229" s="32">
        <f>0+4+1</f>
        <v>5</v>
      </c>
      <c r="P229" s="32">
        <f>0+4+1</f>
        <v>5</v>
      </c>
      <c r="Q229" s="32">
        <f>0+4+1</f>
        <v>5</v>
      </c>
      <c r="R229" s="32">
        <f>1+4</f>
        <v>5</v>
      </c>
      <c r="S229" s="32">
        <f>1+4</f>
        <v>5</v>
      </c>
      <c r="T229" s="32">
        <v>5</v>
      </c>
      <c r="U229" s="32">
        <v>5</v>
      </c>
      <c r="V229" s="32">
        <v>4</v>
      </c>
      <c r="W229" s="32">
        <v>3</v>
      </c>
      <c r="X229" s="32">
        <f>3+5</f>
        <v>8</v>
      </c>
      <c r="Y229" s="32">
        <v>8</v>
      </c>
      <c r="Z229" s="32">
        <v>8</v>
      </c>
      <c r="AA229" s="32">
        <v>8</v>
      </c>
      <c r="AB229" s="30">
        <v>10</v>
      </c>
      <c r="AC229" s="30">
        <v>8</v>
      </c>
      <c r="AD229" s="30">
        <v>8</v>
      </c>
      <c r="AE229" s="30">
        <v>8</v>
      </c>
      <c r="AF229" s="30">
        <v>7</v>
      </c>
      <c r="AG229" s="30">
        <f>6+5</f>
        <v>11</v>
      </c>
      <c r="AH229" s="30">
        <f>6+5</f>
        <v>11</v>
      </c>
      <c r="AI229" s="30">
        <f>6+5</f>
        <v>11</v>
      </c>
      <c r="AJ229" s="30">
        <f>7+4</f>
        <v>11</v>
      </c>
    </row>
    <row r="230" spans="1:69" ht="80.099999999999994" customHeight="1">
      <c r="A230" s="125" t="s">
        <v>17</v>
      </c>
      <c r="B230" s="79" t="s">
        <v>1054</v>
      </c>
      <c r="C230" s="78" t="s">
        <v>1012</v>
      </c>
      <c r="D230" s="58" t="s">
        <v>548</v>
      </c>
      <c r="E230" s="76"/>
      <c r="F230" s="99" t="s">
        <v>549</v>
      </c>
      <c r="G230" s="25"/>
      <c r="H230" s="25"/>
      <c r="J230" s="30">
        <f>12</f>
        <v>12</v>
      </c>
      <c r="K230" s="30">
        <f>11+1</f>
        <v>12</v>
      </c>
      <c r="L230" s="30">
        <f>9+1</f>
        <v>10</v>
      </c>
      <c r="M230" s="30">
        <f>9+2</f>
        <v>11</v>
      </c>
      <c r="N230" s="30">
        <f>6+2</f>
        <v>8</v>
      </c>
      <c r="O230" s="30">
        <f>4+2</f>
        <v>6</v>
      </c>
      <c r="P230" s="30">
        <f>4+2</f>
        <v>6</v>
      </c>
      <c r="Q230" s="30">
        <f>4+12</f>
        <v>16</v>
      </c>
      <c r="R230" s="30">
        <f>12+1+1</f>
        <v>14</v>
      </c>
      <c r="S230" s="30">
        <f>12+1</f>
        <v>13</v>
      </c>
      <c r="T230" s="30">
        <f>7+1</f>
        <v>8</v>
      </c>
      <c r="U230" s="30">
        <v>8</v>
      </c>
      <c r="V230" s="30">
        <v>8</v>
      </c>
      <c r="W230" s="30">
        <v>3</v>
      </c>
      <c r="X230" s="30">
        <f>0+5</f>
        <v>5</v>
      </c>
      <c r="Y230" s="30">
        <v>5</v>
      </c>
      <c r="Z230" s="30">
        <v>5</v>
      </c>
      <c r="AA230" s="30">
        <v>5</v>
      </c>
      <c r="AB230" s="30">
        <v>8</v>
      </c>
      <c r="AC230" s="30">
        <f>2+1</f>
        <v>3</v>
      </c>
      <c r="AD230" s="30">
        <f>0+5</f>
        <v>5</v>
      </c>
      <c r="AE230" s="30">
        <f>2+10+3</f>
        <v>15</v>
      </c>
      <c r="AF230" s="30">
        <f>5+7+1</f>
        <v>13</v>
      </c>
      <c r="AG230" s="30">
        <f>6+5</f>
        <v>11</v>
      </c>
      <c r="AH230" s="30">
        <f>8+1</f>
        <v>9</v>
      </c>
      <c r="AI230" s="30">
        <v>9</v>
      </c>
      <c r="AJ230" s="30">
        <v>8</v>
      </c>
    </row>
    <row r="231" spans="1:69" ht="80.099999999999994" customHeight="1">
      <c r="A231" s="125" t="s">
        <v>17</v>
      </c>
      <c r="B231" s="79"/>
      <c r="C231" s="75" t="s">
        <v>1136</v>
      </c>
      <c r="D231" s="56" t="s">
        <v>1135</v>
      </c>
      <c r="E231" s="76"/>
      <c r="F231" s="81" t="s">
        <v>1143</v>
      </c>
      <c r="G231" s="25"/>
      <c r="H231" s="25"/>
      <c r="I231" s="30" t="s">
        <v>21</v>
      </c>
      <c r="AI231" s="30">
        <v>0</v>
      </c>
      <c r="AJ231" s="30">
        <f>0+10</f>
        <v>10</v>
      </c>
    </row>
    <row r="232" spans="1:69" ht="80.099999999999994" customHeight="1">
      <c r="A232" s="125" t="s">
        <v>17</v>
      </c>
      <c r="B232" s="79" t="s">
        <v>1054</v>
      </c>
      <c r="C232" s="78" t="s">
        <v>1013</v>
      </c>
      <c r="D232" s="58" t="s">
        <v>550</v>
      </c>
      <c r="E232" s="76"/>
      <c r="F232" s="99" t="s">
        <v>551</v>
      </c>
      <c r="G232" s="25"/>
      <c r="H232" s="25"/>
      <c r="J232" s="30">
        <v>1</v>
      </c>
      <c r="K232" s="30">
        <v>1</v>
      </c>
      <c r="L232" s="30">
        <v>1</v>
      </c>
      <c r="M232" s="30">
        <v>1</v>
      </c>
      <c r="N232" s="30">
        <f>2+6</f>
        <v>8</v>
      </c>
      <c r="O232" s="30">
        <f>2+6</f>
        <v>8</v>
      </c>
      <c r="P232" s="30">
        <f>1+6</f>
        <v>7</v>
      </c>
      <c r="Q232" s="30">
        <f>0+6+1</f>
        <v>7</v>
      </c>
      <c r="R232" s="30">
        <f>1+5</f>
        <v>6</v>
      </c>
      <c r="S232" s="30">
        <f>1+5</f>
        <v>6</v>
      </c>
      <c r="T232" s="30">
        <v>6</v>
      </c>
      <c r="U232" s="30">
        <v>7</v>
      </c>
      <c r="V232" s="30">
        <v>5</v>
      </c>
      <c r="W232" s="30">
        <v>3</v>
      </c>
      <c r="X232" s="30">
        <v>4</v>
      </c>
      <c r="Y232" s="30">
        <v>3</v>
      </c>
      <c r="Z232" s="30">
        <f>2+5</f>
        <v>7</v>
      </c>
      <c r="AA232" s="30">
        <v>6</v>
      </c>
      <c r="AB232" s="30">
        <v>5</v>
      </c>
      <c r="AC232" s="30">
        <v>4</v>
      </c>
      <c r="AD232" s="30">
        <f>3+5</f>
        <v>8</v>
      </c>
      <c r="AE232" s="30">
        <f>5+3</f>
        <v>8</v>
      </c>
      <c r="AF232" s="30">
        <f>6+1</f>
        <v>7</v>
      </c>
      <c r="AG232" s="30">
        <v>6</v>
      </c>
      <c r="AH232" s="30">
        <v>6</v>
      </c>
      <c r="AI232" s="30">
        <v>6</v>
      </c>
      <c r="AJ232" s="30">
        <f>6+2</f>
        <v>8</v>
      </c>
    </row>
    <row r="233" spans="1:69" s="32" customFormat="1" ht="80.099999999999994" customHeight="1">
      <c r="A233" s="125" t="s">
        <v>17</v>
      </c>
      <c r="B233" s="79" t="s">
        <v>1069</v>
      </c>
      <c r="C233" s="78" t="s">
        <v>947</v>
      </c>
      <c r="D233" s="58" t="s">
        <v>246</v>
      </c>
      <c r="E233" s="76"/>
      <c r="F233" s="99" t="s">
        <v>552</v>
      </c>
      <c r="G233" s="25"/>
      <c r="H233" s="25"/>
      <c r="I233" s="23"/>
      <c r="J233" s="32">
        <v>0</v>
      </c>
      <c r="K233" s="32">
        <f>0+34</f>
        <v>34</v>
      </c>
      <c r="L233" s="32">
        <f>0+34</f>
        <v>34</v>
      </c>
      <c r="M233" s="32">
        <f>0+33</f>
        <v>33</v>
      </c>
      <c r="N233" s="32">
        <f>0+32</f>
        <v>32</v>
      </c>
      <c r="O233" s="32">
        <f>32+7</f>
        <v>39</v>
      </c>
      <c r="P233" s="32">
        <f>31+2</f>
        <v>33</v>
      </c>
      <c r="Q233" s="32">
        <f>27+3</f>
        <v>30</v>
      </c>
      <c r="R233" s="32">
        <f>23+1</f>
        <v>24</v>
      </c>
      <c r="S233" s="32">
        <f>22+1</f>
        <v>23</v>
      </c>
      <c r="T233" s="32">
        <f>18+2</f>
        <v>20</v>
      </c>
      <c r="U233" s="32">
        <f>16+1</f>
        <v>17</v>
      </c>
      <c r="V233" s="32">
        <v>16</v>
      </c>
      <c r="W233" s="32">
        <f>0+30+3</f>
        <v>33</v>
      </c>
      <c r="X233" s="32">
        <f>0+35</f>
        <v>35</v>
      </c>
      <c r="Y233" s="32">
        <f>0+33</f>
        <v>33</v>
      </c>
      <c r="Z233" s="32">
        <f>0+3</f>
        <v>3</v>
      </c>
      <c r="AA233" s="32">
        <f>0+25</f>
        <v>25</v>
      </c>
      <c r="AB233" s="30">
        <f>0+19</f>
        <v>19</v>
      </c>
      <c r="AC233" s="30">
        <f>11+2</f>
        <v>13</v>
      </c>
      <c r="AD233" s="30">
        <f>11+50</f>
        <v>61</v>
      </c>
      <c r="AE233" s="30">
        <f>58+1</f>
        <v>59</v>
      </c>
      <c r="AF233" s="30">
        <f>50+5</f>
        <v>55</v>
      </c>
      <c r="AG233" s="30">
        <f>49+3</f>
        <v>52</v>
      </c>
      <c r="AH233" s="30">
        <f>45+1</f>
        <v>46</v>
      </c>
      <c r="AI233" s="30">
        <f>45+1</f>
        <v>46</v>
      </c>
      <c r="AJ233" s="30">
        <v>45</v>
      </c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</row>
    <row r="234" spans="1:69" ht="80.099999999999994" customHeight="1">
      <c r="A234" s="125" t="s">
        <v>17</v>
      </c>
      <c r="B234" s="79"/>
      <c r="C234" s="78" t="s">
        <v>1138</v>
      </c>
      <c r="D234" s="56" t="s">
        <v>1137</v>
      </c>
      <c r="E234" s="76"/>
      <c r="F234" s="81" t="s">
        <v>1144</v>
      </c>
      <c r="G234" s="25"/>
      <c r="H234" s="25"/>
      <c r="I234" s="30" t="s">
        <v>21</v>
      </c>
      <c r="AI234" s="30">
        <v>0</v>
      </c>
      <c r="AJ234" s="30">
        <f>0+10</f>
        <v>10</v>
      </c>
    </row>
    <row r="235" spans="1:69" ht="80.099999999999994" customHeight="1">
      <c r="A235" s="125" t="s">
        <v>17</v>
      </c>
      <c r="B235" s="79" t="s">
        <v>1069</v>
      </c>
      <c r="C235" s="78" t="s">
        <v>554</v>
      </c>
      <c r="D235" s="58" t="s">
        <v>553</v>
      </c>
      <c r="E235" s="76"/>
      <c r="F235" s="99" t="s">
        <v>555</v>
      </c>
      <c r="G235" s="25"/>
      <c r="H235" s="25"/>
      <c r="J235" s="30">
        <v>26</v>
      </c>
      <c r="K235" s="30">
        <v>26</v>
      </c>
      <c r="L235" s="30">
        <v>26</v>
      </c>
      <c r="M235" s="30">
        <f>242</f>
        <v>242</v>
      </c>
      <c r="N235" s="30">
        <v>24</v>
      </c>
      <c r="O235" s="30">
        <f>23</f>
        <v>23</v>
      </c>
      <c r="P235" s="30">
        <v>23</v>
      </c>
      <c r="Q235" s="30">
        <f>22</f>
        <v>22</v>
      </c>
      <c r="R235" s="30">
        <v>22</v>
      </c>
      <c r="S235" s="30">
        <v>21</v>
      </c>
      <c r="T235" s="30">
        <v>22</v>
      </c>
      <c r="U235" s="30">
        <v>21</v>
      </c>
      <c r="V235" s="30">
        <v>21</v>
      </c>
      <c r="W235" s="30">
        <v>19</v>
      </c>
      <c r="X235" s="30">
        <v>18</v>
      </c>
      <c r="Y235" s="30">
        <v>18</v>
      </c>
      <c r="Z235" s="30">
        <v>17</v>
      </c>
      <c r="AA235" s="30">
        <v>17</v>
      </c>
      <c r="AB235" s="30">
        <v>17</v>
      </c>
      <c r="AC235" s="30">
        <v>17</v>
      </c>
      <c r="AD235" s="30">
        <v>17</v>
      </c>
      <c r="AE235" s="30">
        <f>16</f>
        <v>16</v>
      </c>
      <c r="AF235" s="30">
        <v>15</v>
      </c>
      <c r="AG235" s="30">
        <v>15</v>
      </c>
      <c r="AH235" s="30">
        <v>15</v>
      </c>
      <c r="AI235" s="30">
        <v>15</v>
      </c>
      <c r="AJ235" s="30">
        <v>14</v>
      </c>
    </row>
    <row r="236" spans="1:69" ht="80.099999999999994" customHeight="1">
      <c r="A236" s="125" t="s">
        <v>17</v>
      </c>
      <c r="B236" s="79" t="s">
        <v>1054</v>
      </c>
      <c r="C236" s="78" t="s">
        <v>557</v>
      </c>
      <c r="D236" s="58" t="s">
        <v>556</v>
      </c>
      <c r="E236" s="76"/>
      <c r="F236" s="99" t="s">
        <v>558</v>
      </c>
      <c r="G236" s="25"/>
      <c r="H236" s="25"/>
      <c r="J236" s="30">
        <v>11</v>
      </c>
      <c r="K236" s="30">
        <v>11</v>
      </c>
      <c r="L236" s="30">
        <v>11</v>
      </c>
      <c r="M236" s="30">
        <v>11</v>
      </c>
      <c r="N236" s="30">
        <v>11</v>
      </c>
      <c r="O236" s="30">
        <v>11</v>
      </c>
      <c r="P236" s="30">
        <v>11</v>
      </c>
      <c r="Q236" s="30">
        <v>10</v>
      </c>
      <c r="R236" s="30">
        <v>10</v>
      </c>
      <c r="S236" s="30">
        <v>10</v>
      </c>
      <c r="T236" s="30">
        <v>10</v>
      </c>
      <c r="U236" s="30">
        <v>10</v>
      </c>
      <c r="V236" s="30">
        <v>10</v>
      </c>
      <c r="W236" s="30">
        <v>9</v>
      </c>
      <c r="X236" s="30">
        <v>9</v>
      </c>
      <c r="Y236" s="30">
        <v>9</v>
      </c>
      <c r="Z236" s="30">
        <v>9</v>
      </c>
      <c r="AA236" s="30">
        <v>9</v>
      </c>
      <c r="AB236" s="30">
        <v>8</v>
      </c>
      <c r="AC236" s="30">
        <v>8</v>
      </c>
      <c r="AD236" s="30">
        <v>8</v>
      </c>
      <c r="AE236" s="30">
        <v>8</v>
      </c>
      <c r="AF236" s="30">
        <v>7</v>
      </c>
      <c r="AG236" s="30">
        <v>7</v>
      </c>
      <c r="AH236" s="30">
        <v>7</v>
      </c>
      <c r="AI236" s="30">
        <v>7</v>
      </c>
      <c r="AJ236" s="30">
        <f>6+1</f>
        <v>7</v>
      </c>
    </row>
    <row r="237" spans="1:69" ht="80.099999999999994" customHeight="1">
      <c r="A237" s="125" t="s">
        <v>17</v>
      </c>
      <c r="B237" s="79" t="s">
        <v>1069</v>
      </c>
      <c r="C237" s="78" t="s">
        <v>560</v>
      </c>
      <c r="D237" s="58" t="s">
        <v>559</v>
      </c>
      <c r="E237" s="76"/>
      <c r="F237" s="99" t="s">
        <v>561</v>
      </c>
      <c r="G237" s="25"/>
      <c r="H237" s="25"/>
      <c r="J237" s="30">
        <v>17</v>
      </c>
      <c r="K237" s="30">
        <v>17</v>
      </c>
      <c r="L237" s="30">
        <v>17</v>
      </c>
      <c r="M237" s="30">
        <v>16</v>
      </c>
      <c r="N237" s="30">
        <v>16</v>
      </c>
      <c r="O237" s="30">
        <v>16</v>
      </c>
      <c r="P237" s="30">
        <v>16</v>
      </c>
      <c r="Q237" s="30">
        <v>15</v>
      </c>
      <c r="R237" s="30">
        <v>14</v>
      </c>
      <c r="S237" s="30">
        <v>14</v>
      </c>
      <c r="T237" s="30">
        <v>13</v>
      </c>
      <c r="U237" s="30">
        <v>13</v>
      </c>
      <c r="V237" s="30">
        <v>13</v>
      </c>
      <c r="W237" s="30">
        <v>12</v>
      </c>
      <c r="X237" s="30">
        <v>11</v>
      </c>
      <c r="Y237" s="30">
        <f>10</f>
        <v>10</v>
      </c>
      <c r="Z237" s="30">
        <v>11</v>
      </c>
      <c r="AA237" s="30">
        <v>11</v>
      </c>
      <c r="AB237" s="30">
        <v>11</v>
      </c>
      <c r="AC237" s="30">
        <v>11</v>
      </c>
      <c r="AD237" s="30">
        <v>11</v>
      </c>
      <c r="AE237" s="30">
        <f>8+0</f>
        <v>8</v>
      </c>
      <c r="AF237" s="30">
        <v>8</v>
      </c>
      <c r="AG237" s="30">
        <v>7</v>
      </c>
      <c r="AH237" s="30">
        <v>5</v>
      </c>
      <c r="AI237" s="30">
        <v>4</v>
      </c>
      <c r="AJ237" s="30">
        <f>4+5</f>
        <v>9</v>
      </c>
    </row>
    <row r="238" spans="1:69" ht="80.099999999999994" customHeight="1">
      <c r="A238" s="125" t="s">
        <v>17</v>
      </c>
      <c r="B238" s="79" t="s">
        <v>1054</v>
      </c>
      <c r="C238" s="78" t="s">
        <v>563</v>
      </c>
      <c r="D238" s="58" t="s">
        <v>562</v>
      </c>
      <c r="E238" s="76"/>
      <c r="F238" s="99" t="s">
        <v>564</v>
      </c>
      <c r="G238" s="25"/>
      <c r="H238" s="25"/>
      <c r="J238" s="30">
        <v>9</v>
      </c>
      <c r="K238" s="30">
        <v>8</v>
      </c>
      <c r="L238" s="30">
        <v>8</v>
      </c>
      <c r="M238" s="30">
        <v>8</v>
      </c>
      <c r="N238" s="30">
        <f>7+1</f>
        <v>8</v>
      </c>
      <c r="O238" s="30">
        <v>6</v>
      </c>
      <c r="P238" s="30">
        <v>6</v>
      </c>
      <c r="Q238" s="30">
        <v>7</v>
      </c>
      <c r="R238" s="30">
        <v>7</v>
      </c>
      <c r="S238" s="30">
        <v>7</v>
      </c>
      <c r="T238" s="30">
        <f>6+1</f>
        <v>7</v>
      </c>
      <c r="U238" s="30">
        <v>6</v>
      </c>
      <c r="V238" s="30">
        <f>5+1</f>
        <v>6</v>
      </c>
      <c r="W238" s="30">
        <v>6</v>
      </c>
      <c r="X238" s="30">
        <v>6</v>
      </c>
      <c r="Y238" s="30">
        <v>5</v>
      </c>
      <c r="Z238" s="30">
        <v>5</v>
      </c>
      <c r="AA238" s="30">
        <v>5</v>
      </c>
      <c r="AB238" s="30">
        <v>4</v>
      </c>
      <c r="AC238" s="30">
        <v>4</v>
      </c>
      <c r="AD238" s="30">
        <v>4</v>
      </c>
      <c r="AE238" s="30">
        <v>4</v>
      </c>
      <c r="AF238" s="30">
        <v>4</v>
      </c>
      <c r="AG238" s="30">
        <v>1</v>
      </c>
      <c r="AH238" s="30">
        <f>0+5</f>
        <v>5</v>
      </c>
      <c r="AI238" s="30">
        <f>1+4</f>
        <v>5</v>
      </c>
      <c r="AJ238" s="30">
        <f>1+4</f>
        <v>5</v>
      </c>
    </row>
    <row r="239" spans="1:69" ht="80.099999999999994" customHeight="1">
      <c r="A239" s="125" t="s">
        <v>17</v>
      </c>
      <c r="B239" s="79" t="s">
        <v>1070</v>
      </c>
      <c r="C239" s="78" t="s">
        <v>948</v>
      </c>
      <c r="D239" s="58" t="s">
        <v>565</v>
      </c>
      <c r="E239" s="76"/>
      <c r="F239" s="99" t="s">
        <v>566</v>
      </c>
      <c r="G239" s="25"/>
      <c r="H239" s="25"/>
      <c r="J239" s="30">
        <v>8</v>
      </c>
      <c r="K239" s="30">
        <v>8</v>
      </c>
      <c r="L239" s="30">
        <f>7+1</f>
        <v>8</v>
      </c>
      <c r="M239" s="30">
        <v>6</v>
      </c>
      <c r="N239" s="30">
        <v>6</v>
      </c>
      <c r="O239" s="30">
        <v>5</v>
      </c>
      <c r="P239" s="30">
        <v>5</v>
      </c>
      <c r="Q239" s="30">
        <v>4</v>
      </c>
      <c r="R239" s="30">
        <v>2</v>
      </c>
      <c r="S239" s="30">
        <v>1</v>
      </c>
      <c r="T239" s="30">
        <f>1+4</f>
        <v>5</v>
      </c>
      <c r="U239" s="30">
        <f>0+4</f>
        <v>4</v>
      </c>
      <c r="V239" s="30">
        <v>4</v>
      </c>
      <c r="W239" s="30">
        <f>2+1</f>
        <v>3</v>
      </c>
      <c r="X239" s="30">
        <v>1</v>
      </c>
      <c r="Y239" s="30">
        <v>0</v>
      </c>
      <c r="Z239" s="30">
        <f>0+5</f>
        <v>5</v>
      </c>
      <c r="AA239" s="30">
        <v>5</v>
      </c>
      <c r="AB239" s="30">
        <v>5</v>
      </c>
      <c r="AC239" s="30">
        <v>4</v>
      </c>
      <c r="AD239" s="30">
        <v>4</v>
      </c>
      <c r="AE239" s="30">
        <v>4</v>
      </c>
      <c r="AF239" s="30">
        <v>4</v>
      </c>
      <c r="AG239" s="30">
        <v>3</v>
      </c>
      <c r="AH239" s="30">
        <f>3+5</f>
        <v>8</v>
      </c>
      <c r="AI239" s="30">
        <f>3+5</f>
        <v>8</v>
      </c>
      <c r="AJ239" s="30">
        <f>3+5</f>
        <v>8</v>
      </c>
    </row>
    <row r="240" spans="1:69" ht="80.099999999999994" customHeight="1">
      <c r="A240" s="125" t="s">
        <v>17</v>
      </c>
      <c r="B240" s="79"/>
      <c r="C240" s="75" t="s">
        <v>1140</v>
      </c>
      <c r="D240" s="56" t="s">
        <v>1139</v>
      </c>
      <c r="E240" s="76"/>
      <c r="F240" s="81" t="s">
        <v>1145</v>
      </c>
      <c r="G240" s="25"/>
      <c r="H240" s="25"/>
      <c r="I240" s="30"/>
      <c r="AI240" s="30">
        <v>0</v>
      </c>
      <c r="AJ240" s="30">
        <f>0+5</f>
        <v>5</v>
      </c>
    </row>
    <row r="241" spans="1:69" ht="80.099999999999994" customHeight="1">
      <c r="A241" s="125" t="s">
        <v>17</v>
      </c>
      <c r="B241" s="79"/>
      <c r="C241" s="78" t="s">
        <v>949</v>
      </c>
      <c r="D241" s="58" t="s">
        <v>567</v>
      </c>
      <c r="E241" s="76"/>
      <c r="F241" s="99" t="s">
        <v>568</v>
      </c>
      <c r="G241" s="25"/>
      <c r="H241" s="25"/>
      <c r="J241" s="37">
        <v>31</v>
      </c>
      <c r="K241" s="37">
        <f>30+1</f>
        <v>31</v>
      </c>
      <c r="L241" s="37">
        <v>30</v>
      </c>
      <c r="M241" s="37">
        <v>30</v>
      </c>
      <c r="N241" s="37">
        <f>24+1</f>
        <v>25</v>
      </c>
      <c r="O241" s="37">
        <v>18</v>
      </c>
      <c r="P241" s="37">
        <v>17</v>
      </c>
      <c r="Q241" s="37">
        <f>15+15+2</f>
        <v>32</v>
      </c>
      <c r="R241" s="37">
        <f>8+15+1</f>
        <v>24</v>
      </c>
      <c r="S241" s="37">
        <f>7+15</f>
        <v>22</v>
      </c>
      <c r="T241" s="37">
        <f>7+30+15</f>
        <v>52</v>
      </c>
      <c r="U241" s="37">
        <f>5+30+18</f>
        <v>53</v>
      </c>
      <c r="V241" s="37">
        <f>7+30+15</f>
        <v>52</v>
      </c>
      <c r="W241" s="37">
        <f>30+8</f>
        <v>38</v>
      </c>
      <c r="X241" s="37">
        <f>36+1</f>
        <v>37</v>
      </c>
      <c r="Y241" s="37">
        <f>34+2</f>
        <v>36</v>
      </c>
      <c r="Z241" s="37">
        <f>33+30+2</f>
        <v>65</v>
      </c>
      <c r="AA241" s="37">
        <f>61+0</f>
        <v>61</v>
      </c>
      <c r="AB241" s="37">
        <v>56</v>
      </c>
      <c r="AC241" s="37">
        <f>53+1</f>
        <v>54</v>
      </c>
      <c r="AD241" s="37">
        <f>52+1</f>
        <v>53</v>
      </c>
      <c r="AE241" s="37">
        <f>51+2</f>
        <v>53</v>
      </c>
      <c r="AF241" s="37">
        <v>45</v>
      </c>
      <c r="AG241" s="37">
        <f>40</f>
        <v>40</v>
      </c>
      <c r="AH241" s="37">
        <f>32+1</f>
        <v>33</v>
      </c>
      <c r="AI241" s="37">
        <f>28+1</f>
        <v>29</v>
      </c>
      <c r="AJ241" s="37">
        <f>28+20+1</f>
        <v>49</v>
      </c>
    </row>
    <row r="242" spans="1:69" ht="80.099999999999994" customHeight="1">
      <c r="A242" s="131" t="s">
        <v>17</v>
      </c>
      <c r="B242" s="101"/>
      <c r="C242" s="59" t="s">
        <v>570</v>
      </c>
      <c r="D242" s="58" t="s">
        <v>569</v>
      </c>
      <c r="E242" s="113"/>
      <c r="F242" s="99" t="s">
        <v>571</v>
      </c>
      <c r="G242" s="29"/>
      <c r="H242" s="29"/>
      <c r="J242" s="30">
        <v>91</v>
      </c>
      <c r="K242" s="30">
        <f>88+1</f>
        <v>89</v>
      </c>
      <c r="L242" s="30">
        <f>84+1</f>
        <v>85</v>
      </c>
      <c r="M242" s="30">
        <f>80</f>
        <v>80</v>
      </c>
      <c r="N242" s="30">
        <v>76</v>
      </c>
      <c r="O242" s="30">
        <f>72+3</f>
        <v>75</v>
      </c>
      <c r="P242" s="30">
        <f>74+1</f>
        <v>75</v>
      </c>
      <c r="Q242" s="30">
        <v>73</v>
      </c>
      <c r="R242" s="30">
        <f>69</f>
        <v>69</v>
      </c>
      <c r="S242" s="30">
        <v>67</v>
      </c>
      <c r="T242" s="30">
        <f>64+2</f>
        <v>66</v>
      </c>
      <c r="U242" s="30">
        <f>60+2</f>
        <v>62</v>
      </c>
      <c r="V242" s="30">
        <f>59+1</f>
        <v>60</v>
      </c>
      <c r="W242" s="30">
        <f>38</f>
        <v>38</v>
      </c>
      <c r="X242" s="30">
        <f>32+2</f>
        <v>34</v>
      </c>
      <c r="Y242" s="30">
        <f>27+4</f>
        <v>31</v>
      </c>
      <c r="Z242" s="30">
        <f>26+30+2</f>
        <v>58</v>
      </c>
      <c r="AA242" s="30">
        <f>56+1</f>
        <v>57</v>
      </c>
      <c r="AB242" s="30">
        <f>52+1</f>
        <v>53</v>
      </c>
      <c r="AC242" s="30">
        <f>47+4</f>
        <v>51</v>
      </c>
      <c r="AD242" s="30">
        <f>46+2</f>
        <v>48</v>
      </c>
      <c r="AE242" s="30">
        <f>41+3</f>
        <v>44</v>
      </c>
      <c r="AF242" s="30">
        <f>41+1</f>
        <v>42</v>
      </c>
      <c r="AG242" s="30">
        <f>38+1</f>
        <v>39</v>
      </c>
      <c r="AH242" s="30">
        <f>35+1</f>
        <v>36</v>
      </c>
      <c r="AI242" s="30">
        <v>35</v>
      </c>
      <c r="AJ242" s="30">
        <v>35</v>
      </c>
    </row>
    <row r="243" spans="1:69" ht="80.099999999999994" customHeight="1">
      <c r="A243" s="131" t="s">
        <v>17</v>
      </c>
      <c r="B243" s="101"/>
      <c r="C243" s="59" t="s">
        <v>950</v>
      </c>
      <c r="D243" s="58" t="s">
        <v>879</v>
      </c>
      <c r="E243" s="113"/>
      <c r="F243" s="99" t="s">
        <v>572</v>
      </c>
      <c r="G243" s="29"/>
      <c r="H243" s="29"/>
      <c r="J243" s="37">
        <v>143</v>
      </c>
      <c r="K243" s="37">
        <f>140+1</f>
        <v>141</v>
      </c>
      <c r="L243" s="37">
        <f>137+2</f>
        <v>139</v>
      </c>
      <c r="M243" s="37">
        <f>132+1</f>
        <v>133</v>
      </c>
      <c r="N243" s="37">
        <f>117+4</f>
        <v>121</v>
      </c>
      <c r="O243" s="37">
        <f>110+1</f>
        <v>111</v>
      </c>
      <c r="P243" s="37">
        <f>109</f>
        <v>109</v>
      </c>
      <c r="Q243" s="37">
        <f>89+11</f>
        <v>100</v>
      </c>
      <c r="R243" s="37">
        <f>78+1</f>
        <v>79</v>
      </c>
      <c r="S243" s="37">
        <f>68+2</f>
        <v>70</v>
      </c>
      <c r="T243" s="37">
        <f>57+50</f>
        <v>107</v>
      </c>
      <c r="U243" s="37">
        <f>46+50+2</f>
        <v>98</v>
      </c>
      <c r="V243" s="37">
        <f>39+100+2</f>
        <v>141</v>
      </c>
      <c r="W243" s="37">
        <f>120+1</f>
        <v>121</v>
      </c>
      <c r="X243" s="37">
        <f>110+2</f>
        <v>112</v>
      </c>
      <c r="Y243" s="37">
        <f>107+3</f>
        <v>110</v>
      </c>
      <c r="Z243" s="37">
        <f>106+2</f>
        <v>108</v>
      </c>
      <c r="AA243" s="37">
        <f>104+2</f>
        <v>106</v>
      </c>
      <c r="AB243" s="37">
        <f>97+4</f>
        <v>101</v>
      </c>
      <c r="AC243" s="37">
        <f>89+3</f>
        <v>92</v>
      </c>
      <c r="AD243" s="37">
        <f>83+1</f>
        <v>84</v>
      </c>
      <c r="AE243" s="37">
        <f>75+50+5</f>
        <v>130</v>
      </c>
      <c r="AF243" s="37">
        <f>68+50+3</f>
        <v>121</v>
      </c>
      <c r="AG243" s="37">
        <f>69+49</f>
        <v>118</v>
      </c>
      <c r="AH243" s="37">
        <f>105+50+8</f>
        <v>163</v>
      </c>
      <c r="AI243" s="37">
        <f>107+53</f>
        <v>160</v>
      </c>
      <c r="AJ243" s="37">
        <f>124+32</f>
        <v>156</v>
      </c>
    </row>
    <row r="244" spans="1:69" ht="80.099999999999994" customHeight="1">
      <c r="A244" s="127" t="s">
        <v>17</v>
      </c>
      <c r="B244" s="86"/>
      <c r="C244" s="75" t="s">
        <v>853</v>
      </c>
      <c r="D244" s="56" t="s">
        <v>1125</v>
      </c>
      <c r="E244" s="89"/>
      <c r="F244" s="81" t="s">
        <v>1126</v>
      </c>
      <c r="G244" s="25"/>
      <c r="H244" s="25" t="s">
        <v>840</v>
      </c>
      <c r="I244" s="49" t="s">
        <v>220</v>
      </c>
      <c r="AI244" s="30">
        <v>0</v>
      </c>
      <c r="AJ244" s="30">
        <f>0+20</f>
        <v>20</v>
      </c>
    </row>
    <row r="245" spans="1:69" ht="80.099999999999994" customHeight="1">
      <c r="A245" s="131" t="s">
        <v>17</v>
      </c>
      <c r="B245" s="101"/>
      <c r="C245" s="75" t="s">
        <v>854</v>
      </c>
      <c r="D245" s="56" t="s">
        <v>1127</v>
      </c>
      <c r="E245" s="92"/>
      <c r="F245" s="81" t="s">
        <v>1128</v>
      </c>
      <c r="G245" s="50"/>
      <c r="H245" s="50" t="s">
        <v>840</v>
      </c>
      <c r="I245" s="49" t="s">
        <v>4</v>
      </c>
      <c r="AI245" s="30">
        <v>0</v>
      </c>
      <c r="AJ245" s="30">
        <f>0+30</f>
        <v>30</v>
      </c>
    </row>
    <row r="246" spans="1:69" s="32" customFormat="1" ht="80.099999999999994" customHeight="1">
      <c r="A246" s="127" t="s">
        <v>17</v>
      </c>
      <c r="B246" s="86"/>
      <c r="C246" s="75" t="s">
        <v>855</v>
      </c>
      <c r="D246" s="56" t="s">
        <v>1129</v>
      </c>
      <c r="E246" s="76"/>
      <c r="F246" s="81" t="s">
        <v>1130</v>
      </c>
      <c r="G246" s="25"/>
      <c r="H246" s="25" t="s">
        <v>840</v>
      </c>
      <c r="I246" s="49" t="s">
        <v>220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>
        <v>0</v>
      </c>
      <c r="AJ246" s="30">
        <f>0+20</f>
        <v>20</v>
      </c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</row>
    <row r="247" spans="1:69" ht="80.099999999999994" customHeight="1">
      <c r="A247" s="127" t="s">
        <v>17</v>
      </c>
      <c r="B247" s="79"/>
      <c r="C247" s="78" t="s">
        <v>1298</v>
      </c>
      <c r="D247" s="60" t="s">
        <v>1299</v>
      </c>
      <c r="E247" s="76" t="s">
        <v>1422</v>
      </c>
      <c r="F247" s="77" t="s">
        <v>1300</v>
      </c>
      <c r="G247" s="25"/>
      <c r="H247" s="25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</row>
    <row r="248" spans="1:69" ht="80.099999999999994" customHeight="1">
      <c r="A248" s="127" t="s">
        <v>17</v>
      </c>
      <c r="B248" s="79"/>
      <c r="C248" s="78" t="s">
        <v>1304</v>
      </c>
      <c r="D248" s="60" t="s">
        <v>1305</v>
      </c>
      <c r="E248" s="76" t="s">
        <v>1423</v>
      </c>
      <c r="F248" s="77" t="s">
        <v>1306</v>
      </c>
      <c r="G248" s="25"/>
      <c r="H248" s="25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</row>
    <row r="249" spans="1:69" ht="80.099999999999994" customHeight="1">
      <c r="A249" s="127" t="s">
        <v>17</v>
      </c>
      <c r="B249" s="79"/>
      <c r="C249" s="78" t="s">
        <v>1301</v>
      </c>
      <c r="D249" s="60" t="s">
        <v>1302</v>
      </c>
      <c r="E249" s="76" t="s">
        <v>1424</v>
      </c>
      <c r="F249" s="77" t="s">
        <v>1303</v>
      </c>
      <c r="G249" s="25"/>
      <c r="H249" s="25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</row>
    <row r="250" spans="1:69" ht="80.099999999999994" customHeight="1">
      <c r="A250" s="127" t="s">
        <v>17</v>
      </c>
      <c r="B250" s="79"/>
      <c r="C250" s="78" t="s">
        <v>1292</v>
      </c>
      <c r="D250" s="60" t="s">
        <v>1293</v>
      </c>
      <c r="E250" s="76" t="s">
        <v>1425</v>
      </c>
      <c r="F250" s="77" t="s">
        <v>1294</v>
      </c>
      <c r="G250" s="25"/>
      <c r="H250" s="25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</row>
    <row r="251" spans="1:69" s="32" customFormat="1" ht="80.099999999999994" customHeight="1">
      <c r="A251" s="127" t="s">
        <v>17</v>
      </c>
      <c r="B251" s="79"/>
      <c r="C251" s="78" t="s">
        <v>1295</v>
      </c>
      <c r="D251" s="60" t="s">
        <v>1296</v>
      </c>
      <c r="E251" s="76" t="s">
        <v>1426</v>
      </c>
      <c r="F251" s="77" t="s">
        <v>1297</v>
      </c>
      <c r="G251" s="25"/>
      <c r="H251" s="25"/>
      <c r="I251" s="23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</row>
    <row r="252" spans="1:69" ht="80.099999999999994" customHeight="1">
      <c r="A252" s="127" t="s">
        <v>17</v>
      </c>
      <c r="B252" s="79"/>
      <c r="C252" s="78" t="s">
        <v>1274</v>
      </c>
      <c r="D252" s="60" t="s">
        <v>1275</v>
      </c>
      <c r="E252" s="76"/>
      <c r="F252" s="77" t="s">
        <v>1276</v>
      </c>
      <c r="G252" s="25"/>
      <c r="H252" s="25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</row>
    <row r="253" spans="1:69" ht="80.099999999999994" customHeight="1">
      <c r="A253" s="127" t="s">
        <v>17</v>
      </c>
      <c r="B253" s="79"/>
      <c r="C253" s="78" t="s">
        <v>1268</v>
      </c>
      <c r="D253" s="60" t="s">
        <v>1267</v>
      </c>
      <c r="E253" s="76"/>
      <c r="F253" s="77" t="s">
        <v>1272</v>
      </c>
      <c r="G253" s="25"/>
      <c r="H253" s="25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</row>
    <row r="254" spans="1:69" s="32" customFormat="1" ht="80.099999999999994" customHeight="1">
      <c r="A254" s="127" t="s">
        <v>17</v>
      </c>
      <c r="B254" s="79"/>
      <c r="C254" s="78" t="s">
        <v>1280</v>
      </c>
      <c r="D254" s="60" t="s">
        <v>1281</v>
      </c>
      <c r="E254" s="76"/>
      <c r="F254" s="77" t="s">
        <v>1282</v>
      </c>
      <c r="G254" s="25"/>
      <c r="H254" s="25"/>
      <c r="I254" s="23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</row>
    <row r="255" spans="1:69" ht="80.099999999999994" customHeight="1">
      <c r="A255" s="127" t="s">
        <v>17</v>
      </c>
      <c r="B255" s="79"/>
      <c r="C255" s="78" t="s">
        <v>1277</v>
      </c>
      <c r="D255" s="60" t="s">
        <v>1278</v>
      </c>
      <c r="E255" s="76"/>
      <c r="F255" s="77" t="s">
        <v>1279</v>
      </c>
      <c r="G255" s="25"/>
      <c r="H255" s="25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</row>
    <row r="256" spans="1:69" ht="80.099999999999994" customHeight="1">
      <c r="A256" s="127" t="s">
        <v>17</v>
      </c>
      <c r="B256" s="79"/>
      <c r="C256" s="78" t="s">
        <v>1266</v>
      </c>
      <c r="D256" s="60" t="s">
        <v>1265</v>
      </c>
      <c r="E256" s="76"/>
      <c r="F256" s="77" t="s">
        <v>1271</v>
      </c>
      <c r="G256" s="25"/>
      <c r="H256" s="25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</row>
    <row r="257" spans="1:69" s="32" customFormat="1" ht="80.099999999999994" customHeight="1">
      <c r="A257" s="127" t="s">
        <v>17</v>
      </c>
      <c r="B257" s="79"/>
      <c r="C257" s="78" t="s">
        <v>1393</v>
      </c>
      <c r="D257" s="60" t="s">
        <v>1394</v>
      </c>
      <c r="E257" s="76"/>
      <c r="F257" s="77" t="s">
        <v>1395</v>
      </c>
      <c r="G257" s="25"/>
      <c r="H257" s="25"/>
      <c r="I257" s="23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</row>
    <row r="258" spans="1:69" ht="80.099999999999994" customHeight="1">
      <c r="A258" s="127" t="s">
        <v>17</v>
      </c>
      <c r="B258" s="79"/>
      <c r="C258" s="78" t="s">
        <v>1402</v>
      </c>
      <c r="D258" s="60" t="s">
        <v>1403</v>
      </c>
      <c r="E258" s="76"/>
      <c r="F258" s="77" t="s">
        <v>1401</v>
      </c>
      <c r="G258" s="25"/>
      <c r="H258" s="25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</row>
    <row r="259" spans="1:69" ht="79.5" customHeight="1">
      <c r="A259" s="127" t="s">
        <v>17</v>
      </c>
      <c r="B259" s="79"/>
      <c r="C259" s="78" t="s">
        <v>1397</v>
      </c>
      <c r="D259" s="60" t="s">
        <v>1308</v>
      </c>
      <c r="E259" s="76"/>
      <c r="F259" s="77" t="s">
        <v>1396</v>
      </c>
      <c r="G259" s="25"/>
      <c r="H259" s="25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</row>
    <row r="260" spans="1:69" ht="80.099999999999994" customHeight="1">
      <c r="A260" s="127" t="s">
        <v>17</v>
      </c>
      <c r="B260" s="86"/>
      <c r="C260" s="75" t="s">
        <v>1044</v>
      </c>
      <c r="D260" s="56" t="s">
        <v>1041</v>
      </c>
      <c r="E260" s="89"/>
      <c r="F260" s="81" t="s">
        <v>1047</v>
      </c>
      <c r="G260" s="25"/>
      <c r="H260" s="25"/>
      <c r="I260" s="30"/>
      <c r="AG260" s="30">
        <f>0+50</f>
        <v>50</v>
      </c>
      <c r="AH260" s="30">
        <f>46+200+1</f>
        <v>247</v>
      </c>
      <c r="AI260" s="30">
        <f>244+1</f>
        <v>245</v>
      </c>
      <c r="AJ260" s="30">
        <f>235+4</f>
        <v>239</v>
      </c>
    </row>
    <row r="261" spans="1:69" ht="80.099999999999994" customHeight="1">
      <c r="A261" s="127" t="s">
        <v>17</v>
      </c>
      <c r="B261" s="86"/>
      <c r="C261" s="75" t="s">
        <v>1045</v>
      </c>
      <c r="D261" s="56" t="s">
        <v>1042</v>
      </c>
      <c r="E261" s="89"/>
      <c r="F261" s="81" t="s">
        <v>1048</v>
      </c>
      <c r="G261" s="25"/>
      <c r="H261" s="25"/>
      <c r="I261" s="30"/>
      <c r="AG261" s="30">
        <f>0+5</f>
        <v>5</v>
      </c>
      <c r="AH261" s="30">
        <v>5</v>
      </c>
      <c r="AI261" s="30">
        <v>5</v>
      </c>
      <c r="AJ261" s="30">
        <v>5</v>
      </c>
    </row>
    <row r="262" spans="1:69" ht="80.099999999999994" customHeight="1">
      <c r="A262" s="127" t="s">
        <v>17</v>
      </c>
      <c r="B262" s="86"/>
      <c r="C262" s="75" t="s">
        <v>1046</v>
      </c>
      <c r="D262" s="56" t="s">
        <v>1043</v>
      </c>
      <c r="E262" s="89"/>
      <c r="F262" s="81" t="s">
        <v>1049</v>
      </c>
      <c r="G262" s="25"/>
      <c r="H262" s="25"/>
      <c r="I262" s="30"/>
      <c r="AG262" s="30">
        <v>0</v>
      </c>
      <c r="AH262" s="30">
        <f>0+50</f>
        <v>50</v>
      </c>
      <c r="AI262" s="30">
        <f>49</f>
        <v>49</v>
      </c>
      <c r="AJ262" s="30">
        <v>49</v>
      </c>
    </row>
    <row r="263" spans="1:69" ht="80.099999999999994" customHeight="1">
      <c r="A263" s="131" t="s">
        <v>1406</v>
      </c>
      <c r="B263" s="101"/>
      <c r="C263" s="75" t="s">
        <v>1077</v>
      </c>
      <c r="D263" s="56" t="s">
        <v>1078</v>
      </c>
      <c r="E263" s="92"/>
      <c r="F263" s="81" t="s">
        <v>1079</v>
      </c>
      <c r="G263" s="29"/>
      <c r="H263" s="29"/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0</v>
      </c>
      <c r="V263" s="30">
        <v>0</v>
      </c>
      <c r="W263" s="30">
        <v>0</v>
      </c>
      <c r="X263" s="30">
        <v>0</v>
      </c>
      <c r="Y263" s="30">
        <v>0</v>
      </c>
      <c r="AI263" s="30">
        <v>0</v>
      </c>
      <c r="AJ263" s="30">
        <f>0+30</f>
        <v>30</v>
      </c>
    </row>
    <row r="264" spans="1:69" ht="80.099999999999994" customHeight="1">
      <c r="A264" s="125" t="s">
        <v>280</v>
      </c>
      <c r="B264" s="79"/>
      <c r="C264" s="78" t="s">
        <v>983</v>
      </c>
      <c r="D264" s="58" t="s">
        <v>573</v>
      </c>
      <c r="E264" s="76"/>
      <c r="F264" s="99" t="s">
        <v>574</v>
      </c>
      <c r="G264" s="25"/>
      <c r="H264" s="25"/>
      <c r="J264" s="30">
        <f>54+3</f>
        <v>57</v>
      </c>
      <c r="K264" s="30">
        <f>55+1</f>
        <v>56</v>
      </c>
      <c r="L264" s="30">
        <f>51+3</f>
        <v>54</v>
      </c>
      <c r="M264" s="30">
        <f>49+2</f>
        <v>51</v>
      </c>
      <c r="N264" s="30">
        <f>49+16+1</f>
        <v>66</v>
      </c>
      <c r="O264" s="30">
        <f>49+16+1</f>
        <v>66</v>
      </c>
      <c r="P264" s="30">
        <f>47+16</f>
        <v>63</v>
      </c>
      <c r="Q264" s="30">
        <f>45+16+1</f>
        <v>62</v>
      </c>
      <c r="R264" s="30">
        <f>49+10</f>
        <v>59</v>
      </c>
      <c r="S264" s="30">
        <f>48+9</f>
        <v>57</v>
      </c>
      <c r="T264" s="30">
        <f>43+9</f>
        <v>52</v>
      </c>
      <c r="U264" s="30">
        <f>45+4</f>
        <v>49</v>
      </c>
      <c r="V264" s="30">
        <f>43+1</f>
        <v>44</v>
      </c>
      <c r="W264" s="30">
        <f>23+4</f>
        <v>27</v>
      </c>
      <c r="X264" s="30">
        <f>19+20+3</f>
        <v>42</v>
      </c>
      <c r="Y264" s="30">
        <f>11+20+6</f>
        <v>37</v>
      </c>
      <c r="Z264" s="30">
        <f>10+40+3</f>
        <v>53</v>
      </c>
      <c r="AA264" s="30">
        <f>12+35</f>
        <v>47</v>
      </c>
      <c r="AB264" s="30">
        <f>29+12</f>
        <v>41</v>
      </c>
      <c r="AC264" s="30">
        <f>30+2</f>
        <v>32</v>
      </c>
      <c r="AD264" s="30">
        <f>23+1</f>
        <v>24</v>
      </c>
      <c r="AE264" s="30">
        <f>15+50+3</f>
        <v>68</v>
      </c>
      <c r="AF264" s="30">
        <f>6+50+2</f>
        <v>58</v>
      </c>
      <c r="AG264" s="30">
        <f>7+47</f>
        <v>54</v>
      </c>
      <c r="AH264" s="30">
        <f>34+14</f>
        <v>48</v>
      </c>
      <c r="AI264" s="30">
        <f>43+6</f>
        <v>49</v>
      </c>
      <c r="AJ264" s="30">
        <f>35+6</f>
        <v>41</v>
      </c>
    </row>
    <row r="265" spans="1:69" ht="80.099999999999994" customHeight="1">
      <c r="A265" s="125" t="s">
        <v>280</v>
      </c>
      <c r="B265" s="79"/>
      <c r="C265" s="75" t="s">
        <v>577</v>
      </c>
      <c r="D265" s="58" t="s">
        <v>576</v>
      </c>
      <c r="E265" s="76"/>
      <c r="F265" s="99" t="s">
        <v>578</v>
      </c>
      <c r="G265" s="25"/>
      <c r="H265" s="25"/>
      <c r="I265" s="23" t="s">
        <v>20</v>
      </c>
      <c r="J265" s="30">
        <v>17</v>
      </c>
      <c r="K265" s="30">
        <v>17</v>
      </c>
      <c r="L265" s="30">
        <v>17</v>
      </c>
      <c r="M265" s="30">
        <v>17</v>
      </c>
      <c r="N265" s="30">
        <v>17</v>
      </c>
      <c r="O265" s="30">
        <v>17</v>
      </c>
      <c r="P265" s="30">
        <v>17</v>
      </c>
      <c r="Q265" s="30">
        <v>17</v>
      </c>
      <c r="R265" s="30">
        <v>17</v>
      </c>
      <c r="S265" s="30">
        <v>17</v>
      </c>
      <c r="T265" s="30">
        <v>17</v>
      </c>
      <c r="U265" s="30">
        <v>17</v>
      </c>
      <c r="V265" s="30">
        <v>17</v>
      </c>
      <c r="W265" s="30">
        <v>17</v>
      </c>
      <c r="X265" s="30">
        <v>17</v>
      </c>
      <c r="Y265" s="30">
        <v>17</v>
      </c>
      <c r="Z265" s="30">
        <v>17</v>
      </c>
      <c r="AA265" s="30">
        <v>17</v>
      </c>
      <c r="AB265" s="30">
        <v>17</v>
      </c>
      <c r="AC265" s="30">
        <v>17</v>
      </c>
      <c r="AD265" s="30">
        <v>17</v>
      </c>
      <c r="AE265" s="30">
        <v>17</v>
      </c>
      <c r="AF265" s="30">
        <v>17</v>
      </c>
      <c r="AG265" s="30">
        <v>17</v>
      </c>
      <c r="AH265" s="30">
        <v>17</v>
      </c>
      <c r="AI265" s="30">
        <v>17</v>
      </c>
      <c r="AJ265" s="30">
        <v>17</v>
      </c>
    </row>
    <row r="266" spans="1:69" ht="80.099999999999994" customHeight="1">
      <c r="A266" s="125" t="s">
        <v>280</v>
      </c>
      <c r="B266" s="79"/>
      <c r="C266" s="75" t="s">
        <v>581</v>
      </c>
      <c r="D266" s="58" t="s">
        <v>580</v>
      </c>
      <c r="E266" s="76"/>
      <c r="F266" s="99" t="s">
        <v>582</v>
      </c>
      <c r="G266" s="25"/>
      <c r="H266" s="25"/>
      <c r="I266" s="23" t="s">
        <v>20</v>
      </c>
      <c r="J266" s="30">
        <v>6</v>
      </c>
      <c r="K266" s="30">
        <v>6</v>
      </c>
      <c r="L266" s="30">
        <v>6</v>
      </c>
      <c r="M266" s="30">
        <v>6</v>
      </c>
      <c r="N266" s="30">
        <v>6</v>
      </c>
      <c r="O266" s="30">
        <v>6</v>
      </c>
      <c r="P266" s="30">
        <v>6</v>
      </c>
      <c r="Q266" s="30">
        <v>6</v>
      </c>
      <c r="R266" s="30">
        <v>6</v>
      </c>
      <c r="S266" s="30">
        <v>6</v>
      </c>
      <c r="T266" s="30">
        <v>6</v>
      </c>
      <c r="U266" s="30">
        <v>6</v>
      </c>
      <c r="V266" s="30">
        <v>6</v>
      </c>
      <c r="W266" s="30">
        <v>6</v>
      </c>
      <c r="X266" s="30">
        <v>6</v>
      </c>
      <c r="Y266" s="30">
        <v>5</v>
      </c>
      <c r="Z266" s="30">
        <v>5</v>
      </c>
      <c r="AA266" s="30">
        <v>5</v>
      </c>
      <c r="AB266" s="30">
        <v>5</v>
      </c>
      <c r="AC266" s="30">
        <v>5</v>
      </c>
      <c r="AD266" s="30">
        <v>5</v>
      </c>
      <c r="AE266" s="30">
        <v>5</v>
      </c>
      <c r="AF266" s="30">
        <v>5</v>
      </c>
      <c r="AG266" s="30">
        <v>5</v>
      </c>
      <c r="AH266" s="30">
        <v>5</v>
      </c>
      <c r="AI266" s="30">
        <v>6</v>
      </c>
      <c r="AJ266" s="30">
        <v>6</v>
      </c>
    </row>
    <row r="267" spans="1:69" ht="80.099999999999994" customHeight="1">
      <c r="A267" s="125" t="s">
        <v>280</v>
      </c>
      <c r="B267" s="79"/>
      <c r="C267" s="78" t="s">
        <v>1391</v>
      </c>
      <c r="D267" s="60" t="s">
        <v>1390</v>
      </c>
      <c r="E267" s="76"/>
      <c r="F267" s="77" t="s">
        <v>1392</v>
      </c>
      <c r="G267" s="25"/>
      <c r="H267" s="25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</row>
    <row r="268" spans="1:69" ht="80.099999999999994" customHeight="1">
      <c r="A268" s="125" t="s">
        <v>280</v>
      </c>
      <c r="B268" s="79"/>
      <c r="C268" s="78" t="s">
        <v>1350</v>
      </c>
      <c r="D268" s="60" t="s">
        <v>1351</v>
      </c>
      <c r="E268" s="76"/>
      <c r="F268" s="77" t="s">
        <v>1352</v>
      </c>
      <c r="G268" s="25"/>
      <c r="H268" s="25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</row>
    <row r="269" spans="1:69" ht="80.099999999999994" customHeight="1">
      <c r="A269" s="122" t="s">
        <v>1441</v>
      </c>
      <c r="B269" s="74" t="s">
        <v>1061</v>
      </c>
      <c r="C269" s="75" t="s">
        <v>1209</v>
      </c>
      <c r="D269" s="56" t="s">
        <v>583</v>
      </c>
      <c r="E269" s="76"/>
      <c r="F269" s="114" t="s">
        <v>584</v>
      </c>
      <c r="G269" s="25"/>
      <c r="H269" s="44"/>
      <c r="J269" s="30">
        <v>1</v>
      </c>
      <c r="K269" s="30">
        <f>0+1</f>
        <v>1</v>
      </c>
      <c r="L269" s="30">
        <v>0</v>
      </c>
      <c r="M269" s="30">
        <v>0</v>
      </c>
      <c r="N269" s="30">
        <f>0+3</f>
        <v>3</v>
      </c>
      <c r="O269" s="30">
        <f>0+3</f>
        <v>3</v>
      </c>
      <c r="P269" s="30">
        <f>0+3</f>
        <v>3</v>
      </c>
      <c r="Q269" s="30">
        <f>0+3</f>
        <v>3</v>
      </c>
      <c r="R269" s="30">
        <f>0+3</f>
        <v>3</v>
      </c>
      <c r="S269" s="30">
        <f>0+3</f>
        <v>3</v>
      </c>
      <c r="T269" s="30">
        <v>3</v>
      </c>
      <c r="U269" s="30">
        <v>3</v>
      </c>
      <c r="V269" s="30">
        <v>2</v>
      </c>
      <c r="W269" s="30">
        <v>1</v>
      </c>
      <c r="X269" s="30">
        <f>0+3</f>
        <v>3</v>
      </c>
      <c r="Y269" s="30">
        <v>3</v>
      </c>
      <c r="Z269" s="30">
        <v>3</v>
      </c>
      <c r="AA269" s="30">
        <v>3</v>
      </c>
      <c r="AB269" s="30">
        <v>3</v>
      </c>
      <c r="AC269" s="30">
        <v>3</v>
      </c>
      <c r="AD269" s="30">
        <v>3</v>
      </c>
      <c r="AE269" s="30">
        <v>3</v>
      </c>
      <c r="AF269" s="30">
        <v>3</v>
      </c>
      <c r="AG269" s="30">
        <v>3</v>
      </c>
      <c r="AH269" s="30">
        <v>3</v>
      </c>
      <c r="AI269" s="30">
        <v>3</v>
      </c>
      <c r="AJ269" s="30">
        <v>3</v>
      </c>
    </row>
    <row r="270" spans="1:69" ht="80.099999999999994" customHeight="1">
      <c r="A270" s="125" t="s">
        <v>1417</v>
      </c>
      <c r="B270" s="79" t="s">
        <v>1062</v>
      </c>
      <c r="C270" s="78" t="s">
        <v>951</v>
      </c>
      <c r="D270" s="58" t="s">
        <v>585</v>
      </c>
      <c r="E270" s="76"/>
      <c r="F270" s="99" t="s">
        <v>586</v>
      </c>
      <c r="G270" s="25"/>
      <c r="H270" s="25"/>
      <c r="J270" s="30">
        <v>1</v>
      </c>
      <c r="K270" s="30">
        <v>1</v>
      </c>
      <c r="L270" s="30">
        <v>1</v>
      </c>
      <c r="M270" s="30">
        <v>1</v>
      </c>
      <c r="N270" s="30">
        <v>1</v>
      </c>
      <c r="O270" s="30">
        <v>1</v>
      </c>
      <c r="P270" s="30">
        <v>1</v>
      </c>
      <c r="Q270" s="30">
        <f>0</f>
        <v>0</v>
      </c>
      <c r="R270" s="30">
        <v>0</v>
      </c>
      <c r="S270" s="30">
        <f>0+2</f>
        <v>2</v>
      </c>
      <c r="T270" s="30">
        <f>0+4</f>
        <v>4</v>
      </c>
      <c r="U270" s="30">
        <f>2+2</f>
        <v>4</v>
      </c>
      <c r="V270" s="30">
        <v>4</v>
      </c>
      <c r="W270" s="30">
        <v>4</v>
      </c>
      <c r="X270" s="30">
        <f>3+1</f>
        <v>4</v>
      </c>
      <c r="Y270" s="30">
        <v>3</v>
      </c>
      <c r="Z270" s="30">
        <v>3</v>
      </c>
      <c r="AA270" s="30">
        <v>3</v>
      </c>
      <c r="AB270" s="30">
        <v>3</v>
      </c>
      <c r="AC270" s="30">
        <v>2</v>
      </c>
      <c r="AD270" s="30">
        <v>2</v>
      </c>
      <c r="AE270" s="30">
        <v>2</v>
      </c>
      <c r="AF270" s="30">
        <v>2</v>
      </c>
      <c r="AG270" s="30">
        <v>2</v>
      </c>
      <c r="AH270" s="30">
        <v>2</v>
      </c>
      <c r="AI270" s="30">
        <v>2</v>
      </c>
      <c r="AJ270" s="30">
        <v>2</v>
      </c>
    </row>
    <row r="271" spans="1:69" ht="80.099999999999994" customHeight="1">
      <c r="A271" s="125" t="s">
        <v>1417</v>
      </c>
      <c r="B271" s="79" t="s">
        <v>1063</v>
      </c>
      <c r="C271" s="78" t="s">
        <v>588</v>
      </c>
      <c r="D271" s="58" t="s">
        <v>587</v>
      </c>
      <c r="E271" s="76"/>
      <c r="F271" s="99" t="s">
        <v>589</v>
      </c>
      <c r="G271" s="25"/>
      <c r="H271" s="25"/>
      <c r="J271" s="30">
        <v>9</v>
      </c>
      <c r="K271" s="30">
        <v>9</v>
      </c>
      <c r="L271" s="30">
        <v>9</v>
      </c>
      <c r="M271" s="30">
        <v>9</v>
      </c>
      <c r="N271" s="30">
        <v>9</v>
      </c>
      <c r="O271" s="30">
        <v>9</v>
      </c>
      <c r="P271" s="30">
        <v>9</v>
      </c>
      <c r="Q271" s="30">
        <v>9</v>
      </c>
      <c r="R271" s="30">
        <v>9</v>
      </c>
      <c r="S271" s="30">
        <v>9</v>
      </c>
      <c r="T271" s="30">
        <v>9</v>
      </c>
      <c r="U271" s="30">
        <v>9</v>
      </c>
      <c r="V271" s="30">
        <v>9</v>
      </c>
      <c r="W271" s="30">
        <v>9</v>
      </c>
      <c r="X271" s="30">
        <v>9</v>
      </c>
      <c r="Y271" s="30">
        <v>9</v>
      </c>
      <c r="Z271" s="30">
        <v>9</v>
      </c>
      <c r="AA271" s="30">
        <v>9</v>
      </c>
      <c r="AB271" s="30">
        <v>9</v>
      </c>
      <c r="AC271" s="30">
        <v>9</v>
      </c>
      <c r="AD271" s="30">
        <v>9</v>
      </c>
      <c r="AE271" s="30">
        <v>9</v>
      </c>
      <c r="AF271" s="30">
        <v>9</v>
      </c>
      <c r="AG271" s="30">
        <v>9</v>
      </c>
      <c r="AH271" s="30">
        <v>9</v>
      </c>
      <c r="AI271" s="30">
        <v>9</v>
      </c>
      <c r="AJ271" s="30">
        <v>8</v>
      </c>
    </row>
    <row r="272" spans="1:69" ht="80.099999999999994" customHeight="1">
      <c r="A272" s="125" t="s">
        <v>1417</v>
      </c>
      <c r="B272" s="79" t="s">
        <v>1054</v>
      </c>
      <c r="C272" s="78" t="s">
        <v>591</v>
      </c>
      <c r="D272" s="58" t="s">
        <v>590</v>
      </c>
      <c r="E272" s="76"/>
      <c r="F272" s="99" t="s">
        <v>592</v>
      </c>
      <c r="G272" s="25"/>
      <c r="H272" s="25"/>
      <c r="J272" s="30">
        <f>14+1</f>
        <v>15</v>
      </c>
      <c r="K272" s="30">
        <v>15</v>
      </c>
      <c r="L272" s="30">
        <v>15</v>
      </c>
      <c r="M272" s="30">
        <v>15</v>
      </c>
      <c r="N272" s="30">
        <v>15</v>
      </c>
      <c r="O272" s="30">
        <v>14</v>
      </c>
      <c r="P272" s="30">
        <v>14</v>
      </c>
      <c r="Q272" s="30">
        <v>13</v>
      </c>
      <c r="R272" s="30">
        <v>13</v>
      </c>
      <c r="S272" s="30">
        <v>13</v>
      </c>
      <c r="T272" s="30">
        <v>13</v>
      </c>
      <c r="U272" s="30">
        <v>13</v>
      </c>
      <c r="V272" s="30">
        <f>12+1</f>
        <v>13</v>
      </c>
      <c r="W272" s="30">
        <v>12</v>
      </c>
      <c r="X272" s="30">
        <v>12</v>
      </c>
      <c r="Y272" s="30">
        <v>12</v>
      </c>
      <c r="Z272" s="30">
        <v>12</v>
      </c>
      <c r="AA272" s="30">
        <v>12</v>
      </c>
      <c r="AB272" s="30">
        <v>12</v>
      </c>
      <c r="AC272" s="30">
        <v>11</v>
      </c>
      <c r="AD272" s="30">
        <v>11</v>
      </c>
      <c r="AE272" s="30">
        <v>11</v>
      </c>
      <c r="AF272" s="30">
        <v>11</v>
      </c>
      <c r="AG272" s="30">
        <v>11</v>
      </c>
      <c r="AH272" s="30">
        <v>11</v>
      </c>
      <c r="AI272" s="30">
        <v>11</v>
      </c>
      <c r="AJ272" s="30">
        <v>11</v>
      </c>
    </row>
    <row r="273" spans="1:36" ht="80.099999999999994" customHeight="1">
      <c r="A273" s="125" t="s">
        <v>1417</v>
      </c>
      <c r="B273" s="79" t="s">
        <v>1068</v>
      </c>
      <c r="C273" s="78" t="s">
        <v>594</v>
      </c>
      <c r="D273" s="58" t="s">
        <v>593</v>
      </c>
      <c r="E273" s="76"/>
      <c r="F273" s="99" t="s">
        <v>595</v>
      </c>
      <c r="G273" s="25"/>
      <c r="H273" s="25"/>
      <c r="J273" s="30">
        <v>1</v>
      </c>
      <c r="K273" s="30">
        <v>1</v>
      </c>
      <c r="L273" s="30">
        <v>1</v>
      </c>
      <c r="M273" s="30">
        <v>1</v>
      </c>
      <c r="N273" s="30">
        <v>1</v>
      </c>
      <c r="O273" s="30">
        <v>1</v>
      </c>
      <c r="P273" s="30">
        <v>1</v>
      </c>
      <c r="Q273" s="30">
        <v>1</v>
      </c>
      <c r="R273" s="30">
        <v>1</v>
      </c>
      <c r="S273" s="30">
        <v>1</v>
      </c>
      <c r="T273" s="30">
        <v>1</v>
      </c>
      <c r="U273" s="30">
        <v>1</v>
      </c>
      <c r="V273" s="30">
        <v>1</v>
      </c>
      <c r="W273" s="30">
        <v>0</v>
      </c>
      <c r="X273" s="30">
        <f>0+5</f>
        <v>5</v>
      </c>
      <c r="Y273" s="30">
        <v>5</v>
      </c>
      <c r="Z273" s="30">
        <v>5</v>
      </c>
      <c r="AA273" s="30">
        <v>5</v>
      </c>
      <c r="AB273" s="30">
        <v>3</v>
      </c>
      <c r="AC273" s="30">
        <v>3</v>
      </c>
      <c r="AD273" s="30">
        <v>3</v>
      </c>
      <c r="AE273" s="30">
        <v>3</v>
      </c>
      <c r="AF273" s="30">
        <v>3</v>
      </c>
      <c r="AG273" s="30">
        <v>3</v>
      </c>
      <c r="AH273" s="30">
        <v>3</v>
      </c>
      <c r="AI273" s="30">
        <v>3</v>
      </c>
      <c r="AJ273" s="30">
        <v>3</v>
      </c>
    </row>
    <row r="274" spans="1:36" ht="80.099999999999994" customHeight="1">
      <c r="A274" s="125" t="s">
        <v>1417</v>
      </c>
      <c r="B274" s="79" t="s">
        <v>1062</v>
      </c>
      <c r="C274" s="78" t="s">
        <v>952</v>
      </c>
      <c r="D274" s="58" t="s">
        <v>596</v>
      </c>
      <c r="E274" s="76"/>
      <c r="F274" s="99" t="s">
        <v>597</v>
      </c>
      <c r="G274" s="25"/>
      <c r="H274" s="25"/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30">
        <v>0</v>
      </c>
      <c r="R274" s="30">
        <v>0</v>
      </c>
      <c r="S274" s="30">
        <v>0</v>
      </c>
      <c r="T274" s="30">
        <f>0+15</f>
        <v>15</v>
      </c>
      <c r="U274" s="30">
        <f>0+15</f>
        <v>15</v>
      </c>
      <c r="V274" s="30">
        <f>13</f>
        <v>13</v>
      </c>
      <c r="W274" s="30">
        <v>11</v>
      </c>
      <c r="X274" s="30">
        <v>8</v>
      </c>
      <c r="Y274" s="30">
        <f>4+2</f>
        <v>6</v>
      </c>
      <c r="Z274" s="30">
        <f>5+10</f>
        <v>15</v>
      </c>
      <c r="AA274" s="30">
        <v>15</v>
      </c>
      <c r="AB274" s="30">
        <f>14+1</f>
        <v>15</v>
      </c>
      <c r="AC274" s="30">
        <f>14+1</f>
        <v>15</v>
      </c>
      <c r="AD274" s="30">
        <f>11</f>
        <v>11</v>
      </c>
      <c r="AE274" s="30">
        <v>10</v>
      </c>
      <c r="AF274" s="30">
        <f>8</f>
        <v>8</v>
      </c>
      <c r="AG274" s="30">
        <v>8</v>
      </c>
      <c r="AH274" s="30">
        <f>7+10</f>
        <v>17</v>
      </c>
      <c r="AI274" s="30">
        <f>7+10</f>
        <v>17</v>
      </c>
      <c r="AJ274" s="30">
        <f>8+8</f>
        <v>16</v>
      </c>
    </row>
    <row r="275" spans="1:36" ht="80.099999999999994" customHeight="1">
      <c r="A275" s="125" t="s">
        <v>1417</v>
      </c>
      <c r="B275" s="79" t="s">
        <v>1063</v>
      </c>
      <c r="C275" s="78" t="s">
        <v>599</v>
      </c>
      <c r="D275" s="58" t="s">
        <v>598</v>
      </c>
      <c r="E275" s="76"/>
      <c r="F275" s="99" t="s">
        <v>600</v>
      </c>
      <c r="G275" s="25"/>
      <c r="H275" s="25"/>
      <c r="J275" s="30">
        <v>4</v>
      </c>
      <c r="K275" s="30">
        <v>4</v>
      </c>
      <c r="L275" s="30">
        <v>4</v>
      </c>
      <c r="M275" s="30">
        <v>4</v>
      </c>
      <c r="N275" s="30">
        <v>4</v>
      </c>
      <c r="O275" s="30">
        <v>4</v>
      </c>
      <c r="P275" s="30">
        <v>4</v>
      </c>
      <c r="Q275" s="30">
        <v>4</v>
      </c>
      <c r="R275" s="30">
        <v>4</v>
      </c>
      <c r="S275" s="30">
        <v>4</v>
      </c>
      <c r="T275" s="30">
        <v>4</v>
      </c>
      <c r="U275" s="30">
        <v>4</v>
      </c>
      <c r="V275" s="30">
        <v>4</v>
      </c>
      <c r="W275" s="30">
        <v>2</v>
      </c>
      <c r="X275" s="30">
        <f>1+5</f>
        <v>6</v>
      </c>
      <c r="Y275" s="30">
        <v>6</v>
      </c>
      <c r="Z275" s="30">
        <v>6</v>
      </c>
      <c r="AA275" s="30">
        <v>6</v>
      </c>
      <c r="AB275" s="30">
        <v>6</v>
      </c>
      <c r="AC275" s="30">
        <v>5</v>
      </c>
      <c r="AD275" s="30">
        <f>4+1</f>
        <v>5</v>
      </c>
      <c r="AE275" s="30">
        <v>3</v>
      </c>
      <c r="AF275" s="30">
        <f>0+5</f>
        <v>5</v>
      </c>
      <c r="AG275" s="30">
        <f>3+1</f>
        <v>4</v>
      </c>
      <c r="AH275" s="30">
        <v>3</v>
      </c>
      <c r="AI275" s="30">
        <v>3</v>
      </c>
      <c r="AJ275" s="30">
        <f>2+5</f>
        <v>7</v>
      </c>
    </row>
    <row r="276" spans="1:36" ht="80.099999999999994" customHeight="1">
      <c r="A276" s="125" t="s">
        <v>1417</v>
      </c>
      <c r="B276" s="79" t="s">
        <v>1061</v>
      </c>
      <c r="C276" s="78" t="s">
        <v>602</v>
      </c>
      <c r="D276" s="58" t="s">
        <v>601</v>
      </c>
      <c r="E276" s="76"/>
      <c r="F276" s="99" t="s">
        <v>603</v>
      </c>
      <c r="G276" s="25"/>
      <c r="H276" s="25"/>
      <c r="J276" s="30">
        <v>8</v>
      </c>
      <c r="K276" s="30">
        <v>8</v>
      </c>
      <c r="L276" s="30">
        <v>8</v>
      </c>
      <c r="M276" s="30">
        <v>8</v>
      </c>
      <c r="N276" s="30">
        <v>7</v>
      </c>
      <c r="O276" s="30">
        <v>7</v>
      </c>
      <c r="P276" s="30">
        <v>7</v>
      </c>
      <c r="Q276" s="30">
        <v>7</v>
      </c>
      <c r="R276" s="30">
        <v>7</v>
      </c>
      <c r="S276" s="30">
        <v>7</v>
      </c>
      <c r="T276" s="30">
        <v>7</v>
      </c>
      <c r="U276" s="30">
        <v>7</v>
      </c>
      <c r="V276" s="30">
        <v>7</v>
      </c>
      <c r="W276" s="30">
        <v>5</v>
      </c>
      <c r="X276" s="30">
        <v>5</v>
      </c>
      <c r="Y276" s="30">
        <v>5</v>
      </c>
      <c r="Z276" s="30">
        <v>5</v>
      </c>
      <c r="AA276" s="30">
        <v>5</v>
      </c>
      <c r="AB276" s="30">
        <v>5</v>
      </c>
      <c r="AC276" s="30">
        <v>5</v>
      </c>
      <c r="AD276" s="30">
        <v>5</v>
      </c>
      <c r="AE276" s="30">
        <v>5</v>
      </c>
      <c r="AF276" s="30">
        <v>5</v>
      </c>
      <c r="AG276" s="30">
        <v>5</v>
      </c>
      <c r="AH276" s="30">
        <v>3</v>
      </c>
      <c r="AI276" s="30">
        <v>3</v>
      </c>
      <c r="AJ276" s="30">
        <f>2+5</f>
        <v>7</v>
      </c>
    </row>
    <row r="277" spans="1:36" ht="80.099999999999994" customHeight="1">
      <c r="A277" s="125" t="s">
        <v>1417</v>
      </c>
      <c r="B277" s="79" t="s">
        <v>1054</v>
      </c>
      <c r="C277" s="78" t="s">
        <v>605</v>
      </c>
      <c r="D277" s="58" t="s">
        <v>604</v>
      </c>
      <c r="E277" s="76"/>
      <c r="F277" s="99" t="s">
        <v>606</v>
      </c>
      <c r="G277" s="25"/>
      <c r="H277" s="25"/>
      <c r="J277" s="30">
        <f>8</f>
        <v>8</v>
      </c>
      <c r="K277" s="30">
        <v>8</v>
      </c>
      <c r="L277" s="30">
        <v>8</v>
      </c>
      <c r="M277" s="30">
        <v>8</v>
      </c>
      <c r="N277" s="30">
        <f>6+1</f>
        <v>7</v>
      </c>
      <c r="O277" s="30">
        <v>6</v>
      </c>
      <c r="P277" s="30">
        <v>6</v>
      </c>
      <c r="Q277" s="30">
        <v>6</v>
      </c>
      <c r="R277" s="30">
        <v>6</v>
      </c>
      <c r="S277" s="30">
        <v>4</v>
      </c>
      <c r="T277" s="30">
        <f>3</f>
        <v>3</v>
      </c>
      <c r="U277" s="30">
        <v>3</v>
      </c>
      <c r="V277" s="30">
        <v>3</v>
      </c>
      <c r="W277" s="30">
        <v>2</v>
      </c>
      <c r="X277" s="30">
        <v>2</v>
      </c>
      <c r="Y277" s="30">
        <v>1</v>
      </c>
      <c r="Z277" s="30">
        <v>1</v>
      </c>
      <c r="AA277" s="30">
        <v>1</v>
      </c>
      <c r="AB277" s="30">
        <v>1</v>
      </c>
      <c r="AC277" s="30">
        <v>0</v>
      </c>
      <c r="AD277" s="30">
        <v>0</v>
      </c>
      <c r="AE277" s="30">
        <f>1+10</f>
        <v>11</v>
      </c>
      <c r="AF277" s="30">
        <f>1+18</f>
        <v>19</v>
      </c>
      <c r="AG277" s="30">
        <f>12+6</f>
        <v>18</v>
      </c>
      <c r="AH277" s="30">
        <f>14+2</f>
        <v>16</v>
      </c>
      <c r="AI277" s="30">
        <v>16</v>
      </c>
      <c r="AJ277" s="30">
        <v>14</v>
      </c>
    </row>
    <row r="278" spans="1:36" ht="80.099999999999994" customHeight="1">
      <c r="A278" s="125" t="s">
        <v>1417</v>
      </c>
      <c r="B278" s="79" t="s">
        <v>1070</v>
      </c>
      <c r="C278" s="78" t="s">
        <v>608</v>
      </c>
      <c r="D278" s="58" t="s">
        <v>607</v>
      </c>
      <c r="E278" s="76"/>
      <c r="F278" s="99" t="s">
        <v>609</v>
      </c>
      <c r="G278" s="25"/>
      <c r="H278" s="25"/>
      <c r="J278" s="37">
        <f>0+3</f>
        <v>3</v>
      </c>
      <c r="K278" s="37">
        <f>0+3</f>
        <v>3</v>
      </c>
      <c r="L278" s="37">
        <f>0+3</f>
        <v>3</v>
      </c>
      <c r="M278" s="37">
        <f>0+3</f>
        <v>3</v>
      </c>
      <c r="N278" s="37">
        <f>0+3</f>
        <v>3</v>
      </c>
      <c r="O278" s="37">
        <f>0+3</f>
        <v>3</v>
      </c>
      <c r="P278" s="37">
        <v>3</v>
      </c>
      <c r="Q278" s="37">
        <v>3</v>
      </c>
      <c r="R278" s="37">
        <v>3</v>
      </c>
      <c r="S278" s="37">
        <v>3</v>
      </c>
      <c r="T278" s="37">
        <v>3</v>
      </c>
      <c r="U278" s="37">
        <v>3</v>
      </c>
      <c r="V278" s="37">
        <v>3</v>
      </c>
      <c r="W278" s="37">
        <v>2</v>
      </c>
      <c r="X278" s="37">
        <v>1</v>
      </c>
      <c r="Y278" s="37">
        <v>1</v>
      </c>
      <c r="Z278" s="37">
        <f>1+5</f>
        <v>6</v>
      </c>
      <c r="AA278" s="37">
        <v>6</v>
      </c>
      <c r="AB278" s="37">
        <v>7</v>
      </c>
      <c r="AC278" s="37">
        <v>7</v>
      </c>
      <c r="AD278" s="37">
        <v>7</v>
      </c>
      <c r="AE278" s="37">
        <v>7</v>
      </c>
      <c r="AF278" s="37">
        <v>7</v>
      </c>
      <c r="AG278" s="37">
        <v>7</v>
      </c>
      <c r="AH278" s="37">
        <v>6</v>
      </c>
      <c r="AI278" s="37">
        <v>6</v>
      </c>
      <c r="AJ278" s="37">
        <v>6</v>
      </c>
    </row>
    <row r="279" spans="1:36" ht="80.099999999999994" customHeight="1">
      <c r="A279" s="125" t="s">
        <v>1417</v>
      </c>
      <c r="B279" s="79"/>
      <c r="C279" s="78" t="s">
        <v>1288</v>
      </c>
      <c r="D279" s="60" t="s">
        <v>1286</v>
      </c>
      <c r="E279" s="76" t="s">
        <v>1427</v>
      </c>
      <c r="F279" s="77" t="s">
        <v>1287</v>
      </c>
      <c r="G279" s="25"/>
      <c r="H279" s="25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</row>
    <row r="280" spans="1:36" ht="80.099999999999994" customHeight="1">
      <c r="A280" s="125" t="s">
        <v>1417</v>
      </c>
      <c r="B280" s="79"/>
      <c r="C280" s="78" t="s">
        <v>1270</v>
      </c>
      <c r="D280" s="60" t="s">
        <v>1269</v>
      </c>
      <c r="E280" s="76"/>
      <c r="F280" s="77" t="s">
        <v>1273</v>
      </c>
      <c r="G280" s="25"/>
      <c r="H280" s="25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</row>
    <row r="281" spans="1:36" ht="80.099999999999994" customHeight="1">
      <c r="A281" s="125" t="s">
        <v>1417</v>
      </c>
      <c r="B281" s="79"/>
      <c r="C281" s="78" t="s">
        <v>1289</v>
      </c>
      <c r="D281" s="60" t="s">
        <v>1290</v>
      </c>
      <c r="E281" s="76"/>
      <c r="F281" s="77" t="s">
        <v>1291</v>
      </c>
      <c r="G281" s="25"/>
      <c r="H281" s="25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</row>
    <row r="282" spans="1:36" ht="80.099999999999994" customHeight="1">
      <c r="A282" s="125" t="s">
        <v>1417</v>
      </c>
      <c r="B282" s="79"/>
      <c r="C282" s="78" t="s">
        <v>1348</v>
      </c>
      <c r="D282" s="60" t="s">
        <v>1347</v>
      </c>
      <c r="E282" s="76"/>
      <c r="F282" s="77" t="s">
        <v>1349</v>
      </c>
      <c r="G282" s="25"/>
      <c r="H282" s="25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</row>
    <row r="283" spans="1:36" ht="80.099999999999994" customHeight="1">
      <c r="A283" s="125" t="s">
        <v>1437</v>
      </c>
      <c r="B283" s="79"/>
      <c r="C283" s="78" t="s">
        <v>1363</v>
      </c>
      <c r="D283" s="60" t="s">
        <v>1364</v>
      </c>
      <c r="E283" s="76"/>
      <c r="F283" s="77" t="s">
        <v>1365</v>
      </c>
      <c r="G283" s="25"/>
      <c r="H283" s="25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</row>
    <row r="284" spans="1:36" ht="80.099999999999994" customHeight="1">
      <c r="A284" s="125" t="s">
        <v>1405</v>
      </c>
      <c r="B284" s="79"/>
      <c r="C284" s="75" t="s">
        <v>1014</v>
      </c>
      <c r="D284" s="58" t="s">
        <v>610</v>
      </c>
      <c r="E284" s="76"/>
      <c r="F284" s="99" t="s">
        <v>611</v>
      </c>
      <c r="G284" s="25"/>
      <c r="H284" s="25"/>
      <c r="J284" s="30">
        <f>48+23+5</f>
        <v>76</v>
      </c>
      <c r="K284" s="30">
        <f>47+26</f>
        <v>73</v>
      </c>
      <c r="L284" s="30">
        <f>36+28</f>
        <v>64</v>
      </c>
      <c r="M284" s="30">
        <f>37+25</f>
        <v>62</v>
      </c>
      <c r="N284" s="30">
        <f>23+40+27</f>
        <v>90</v>
      </c>
      <c r="O284" s="30">
        <f>26+40+18</f>
        <v>84</v>
      </c>
      <c r="P284" s="30">
        <f>28+40+13</f>
        <v>81</v>
      </c>
      <c r="Q284" s="30">
        <f>28+40+10</f>
        <v>78</v>
      </c>
      <c r="R284" s="30">
        <f>33+39</f>
        <v>72</v>
      </c>
      <c r="S284" s="30">
        <f>27+32</f>
        <v>59</v>
      </c>
      <c r="T284" s="30">
        <f>45+20</f>
        <v>65</v>
      </c>
      <c r="U284" s="30">
        <f>51+13</f>
        <v>64</v>
      </c>
      <c r="V284" s="30">
        <f>62+50+1</f>
        <v>113</v>
      </c>
      <c r="W284" s="30">
        <f>89+3</f>
        <v>92</v>
      </c>
      <c r="X284" s="30">
        <f>98+1</f>
        <v>99</v>
      </c>
      <c r="Y284" s="30">
        <f>95+2</f>
        <v>97</v>
      </c>
      <c r="Z284" s="30">
        <f>95+3</f>
        <v>98</v>
      </c>
      <c r="AA284" s="30">
        <f>83+4</f>
        <v>87</v>
      </c>
      <c r="AB284" s="30">
        <f>73+5</f>
        <v>78</v>
      </c>
      <c r="AC284" s="30">
        <f>67+3</f>
        <v>70</v>
      </c>
      <c r="AD284" s="30">
        <f>62+3+50</f>
        <v>115</v>
      </c>
      <c r="AE284" s="30">
        <f>72+38</f>
        <v>110</v>
      </c>
      <c r="AF284" s="30">
        <v>97</v>
      </c>
      <c r="AG284" s="30">
        <f>90+0</f>
        <v>90</v>
      </c>
      <c r="AH284" s="30">
        <v>83</v>
      </c>
      <c r="AI284" s="30">
        <f>77+2</f>
        <v>79</v>
      </c>
      <c r="AJ284" s="30">
        <f>71+1</f>
        <v>72</v>
      </c>
    </row>
    <row r="285" spans="1:36" ht="80.099999999999994" customHeight="1">
      <c r="A285" s="125" t="s">
        <v>1405</v>
      </c>
      <c r="B285" s="79"/>
      <c r="C285" s="75" t="s">
        <v>613</v>
      </c>
      <c r="D285" s="58" t="s">
        <v>612</v>
      </c>
      <c r="E285" s="76"/>
      <c r="F285" s="99" t="s">
        <v>614</v>
      </c>
      <c r="G285" s="25"/>
      <c r="H285" s="25"/>
      <c r="J285" s="30">
        <f>135+35+4</f>
        <v>174</v>
      </c>
      <c r="K285" s="30">
        <f>122+5+31</f>
        <v>158</v>
      </c>
      <c r="L285" s="30">
        <f>115+30</f>
        <v>145</v>
      </c>
      <c r="M285" s="30">
        <f>102+42</f>
        <v>144</v>
      </c>
      <c r="N285" s="30">
        <f>94+40</f>
        <v>134</v>
      </c>
      <c r="O285" s="30">
        <f>93+24</f>
        <v>117</v>
      </c>
      <c r="P285" s="30">
        <f>96+15</f>
        <v>111</v>
      </c>
      <c r="Q285" s="30">
        <f>102+50+4</f>
        <v>156</v>
      </c>
      <c r="R285" s="30">
        <f>91+50+7</f>
        <v>148</v>
      </c>
      <c r="S285" s="30">
        <f>88+50+3</f>
        <v>141</v>
      </c>
      <c r="T285" s="30">
        <f>77+54</f>
        <v>131</v>
      </c>
      <c r="U285" s="30">
        <f>70+54</f>
        <v>124</v>
      </c>
      <c r="V285" s="30">
        <f>71+30+51</f>
        <v>152</v>
      </c>
      <c r="W285" s="30">
        <f>125+7</f>
        <v>132</v>
      </c>
      <c r="X285" s="30">
        <f>165+5</f>
        <v>170</v>
      </c>
      <c r="Y285" s="30">
        <f>157+8</f>
        <v>165</v>
      </c>
      <c r="Z285" s="30">
        <f>155+9</f>
        <v>164</v>
      </c>
      <c r="AA285" s="30">
        <f>152+5</f>
        <v>157</v>
      </c>
      <c r="AB285" s="30">
        <f>136+5</f>
        <v>141</v>
      </c>
      <c r="AC285" s="30">
        <f>119+8</f>
        <v>127</v>
      </c>
      <c r="AD285" s="30">
        <f>107+6</f>
        <v>113</v>
      </c>
      <c r="AE285" s="30">
        <f>98+9</f>
        <v>107</v>
      </c>
      <c r="AF285" s="30">
        <f>95+3</f>
        <v>98</v>
      </c>
      <c r="AG285" s="30">
        <f>93+2</f>
        <v>95</v>
      </c>
      <c r="AH285" s="30">
        <f>89+3</f>
        <v>92</v>
      </c>
      <c r="AI285" s="30">
        <f>84+4</f>
        <v>88</v>
      </c>
      <c r="AJ285" s="30">
        <f>73+7</f>
        <v>80</v>
      </c>
    </row>
    <row r="286" spans="1:36" ht="80.099999999999994" customHeight="1">
      <c r="A286" s="125" t="s">
        <v>1405</v>
      </c>
      <c r="B286" s="79"/>
      <c r="C286" s="75" t="s">
        <v>1015</v>
      </c>
      <c r="D286" s="58" t="s">
        <v>575</v>
      </c>
      <c r="E286" s="76"/>
      <c r="F286" s="99" t="s">
        <v>615</v>
      </c>
      <c r="G286" s="25"/>
      <c r="H286" s="25"/>
      <c r="J286" s="30">
        <f>37+27+4</f>
        <v>68</v>
      </c>
      <c r="K286" s="30">
        <f>37+27+4</f>
        <v>68</v>
      </c>
      <c r="L286" s="30">
        <f>27+7</f>
        <v>34</v>
      </c>
      <c r="M286" s="30">
        <f>25+29</f>
        <v>54</v>
      </c>
      <c r="N286" s="30">
        <f>20+28</f>
        <v>48</v>
      </c>
      <c r="O286" s="30">
        <f>15+30</f>
        <v>45</v>
      </c>
      <c r="P286" s="30">
        <f>17+27</f>
        <v>44</v>
      </c>
      <c r="Q286" s="30">
        <f>15+20+26</f>
        <v>61</v>
      </c>
      <c r="R286" s="30">
        <f>24+20+6</f>
        <v>50</v>
      </c>
      <c r="S286" s="30">
        <f>23+20+5</f>
        <v>48</v>
      </c>
      <c r="T286" s="30">
        <f>20+23</f>
        <v>43</v>
      </c>
      <c r="U286" s="30">
        <f>18+22</f>
        <v>40</v>
      </c>
      <c r="V286" s="30">
        <f>13+21</f>
        <v>34</v>
      </c>
      <c r="W286" s="30">
        <f>28+20+3</f>
        <v>51</v>
      </c>
      <c r="X286" s="30">
        <f>44+24</f>
        <v>68</v>
      </c>
      <c r="Y286" s="30">
        <f>58+6</f>
        <v>64</v>
      </c>
      <c r="Z286" s="30">
        <f>57+5</f>
        <v>62</v>
      </c>
      <c r="AA286" s="30">
        <f>52+6</f>
        <v>58</v>
      </c>
      <c r="AB286" s="30">
        <f>48+4</f>
        <v>52</v>
      </c>
      <c r="AC286" s="30">
        <f>44+4</f>
        <v>48</v>
      </c>
      <c r="AD286" s="30">
        <f>44+2+20</f>
        <v>66</v>
      </c>
      <c r="AE286" s="30">
        <f>50+12</f>
        <v>62</v>
      </c>
      <c r="AF286" s="30">
        <f>53+2</f>
        <v>55</v>
      </c>
      <c r="AG286" s="30">
        <f>48+2</f>
        <v>50</v>
      </c>
      <c r="AH286" s="30">
        <f>43+1</f>
        <v>44</v>
      </c>
      <c r="AI286" s="30">
        <f>41+1</f>
        <v>42</v>
      </c>
      <c r="AJ286" s="30">
        <f>37+20+2</f>
        <v>59</v>
      </c>
    </row>
    <row r="287" spans="1:36" ht="80.099999999999994" customHeight="1">
      <c r="A287" s="125" t="s">
        <v>1405</v>
      </c>
      <c r="B287" s="79"/>
      <c r="C287" s="75" t="s">
        <v>616</v>
      </c>
      <c r="D287" s="115" t="s">
        <v>579</v>
      </c>
      <c r="E287" s="76"/>
      <c r="F287" s="99" t="s">
        <v>617</v>
      </c>
      <c r="G287" s="25"/>
      <c r="H287" s="25"/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30">
        <v>0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  <c r="AF287" s="30">
        <v>0</v>
      </c>
      <c r="AG287" s="30">
        <v>0</v>
      </c>
      <c r="AH287" s="30">
        <v>0</v>
      </c>
      <c r="AI287" s="30">
        <v>0</v>
      </c>
      <c r="AJ287" s="30">
        <v>0</v>
      </c>
    </row>
    <row r="288" spans="1:36" ht="80.099999999999994" customHeight="1">
      <c r="A288" s="125" t="s">
        <v>1405</v>
      </c>
      <c r="B288" s="79"/>
      <c r="C288" s="75" t="s">
        <v>1016</v>
      </c>
      <c r="D288" s="58" t="s">
        <v>618</v>
      </c>
      <c r="E288" s="76"/>
      <c r="F288" s="114" t="s">
        <v>619</v>
      </c>
      <c r="G288" s="25"/>
      <c r="H288" s="44"/>
      <c r="I288" s="30"/>
      <c r="J288" s="30">
        <f>37+1</f>
        <v>38</v>
      </c>
      <c r="K288" s="30">
        <f>34+2</f>
        <v>36</v>
      </c>
      <c r="L288" s="30">
        <f>29+2</f>
        <v>31</v>
      </c>
      <c r="M288" s="30">
        <f>27+1</f>
        <v>28</v>
      </c>
      <c r="N288" s="30">
        <f>17+30+2</f>
        <v>49</v>
      </c>
      <c r="O288" s="30">
        <f>14+30+1</f>
        <v>45</v>
      </c>
      <c r="P288" s="30">
        <f>13+30</f>
        <v>43</v>
      </c>
      <c r="Q288" s="30">
        <f>12+30+1</f>
        <v>43</v>
      </c>
      <c r="R288" s="30">
        <f>15+25</f>
        <v>40</v>
      </c>
      <c r="S288" s="30">
        <f>14+26</f>
        <v>40</v>
      </c>
      <c r="T288" s="30">
        <f>16+19</f>
        <v>35</v>
      </c>
      <c r="U288" s="30">
        <f>22+2</f>
        <v>24</v>
      </c>
      <c r="V288" s="30">
        <f>26+30+1</f>
        <v>57</v>
      </c>
      <c r="W288" s="30">
        <f>41+2</f>
        <v>43</v>
      </c>
      <c r="X288" s="30">
        <f>43+6</f>
        <v>49</v>
      </c>
      <c r="Y288" s="30">
        <f>37+11</f>
        <v>48</v>
      </c>
      <c r="Z288" s="30">
        <f>36+6</f>
        <v>42</v>
      </c>
      <c r="AA288" s="30">
        <f>29+11</f>
        <v>40</v>
      </c>
      <c r="AB288" s="30">
        <f>31+2</f>
        <v>33</v>
      </c>
      <c r="AC288" s="30">
        <f>28+2</f>
        <v>30</v>
      </c>
      <c r="AD288" s="30">
        <f>18+20</f>
        <v>38</v>
      </c>
      <c r="AE288" s="30">
        <f>26+20+14</f>
        <v>60</v>
      </c>
      <c r="AF288" s="30">
        <f>42+20</f>
        <v>62</v>
      </c>
      <c r="AG288" s="30">
        <f>39+20</f>
        <v>59</v>
      </c>
      <c r="AH288" s="30">
        <f>44+30+7</f>
        <v>81</v>
      </c>
      <c r="AI288" s="30">
        <f>45+31</f>
        <v>76</v>
      </c>
      <c r="AJ288" s="30">
        <f>54+30+23</f>
        <v>107</v>
      </c>
    </row>
    <row r="289" spans="1:69" ht="80.099999999999994" customHeight="1">
      <c r="A289" s="125" t="s">
        <v>1405</v>
      </c>
      <c r="B289" s="79"/>
      <c r="C289" s="78" t="s">
        <v>621</v>
      </c>
      <c r="D289" s="58" t="s">
        <v>620</v>
      </c>
      <c r="E289" s="76"/>
      <c r="F289" s="99" t="s">
        <v>622</v>
      </c>
      <c r="G289" s="25"/>
      <c r="H289" s="25"/>
      <c r="J289" s="30">
        <f>0+1</f>
        <v>1</v>
      </c>
      <c r="K289" s="30">
        <f>0+2</f>
        <v>2</v>
      </c>
      <c r="L289" s="30">
        <f>0+3</f>
        <v>3</v>
      </c>
      <c r="M289" s="30">
        <f>0+4</f>
        <v>4</v>
      </c>
      <c r="N289" s="30">
        <f>0+194+0</f>
        <v>194</v>
      </c>
      <c r="O289" s="30">
        <f>0+194+2</f>
        <v>196</v>
      </c>
      <c r="P289" s="30">
        <f>0+194+1</f>
        <v>195</v>
      </c>
      <c r="Q289" s="30">
        <f>0+194+2</f>
        <v>196</v>
      </c>
      <c r="R289" s="30">
        <f>0+193</f>
        <v>193</v>
      </c>
      <c r="S289" s="30">
        <f>0+193</f>
        <v>193</v>
      </c>
      <c r="T289" s="30">
        <f>168+10</f>
        <v>178</v>
      </c>
      <c r="U289" s="30">
        <f>166+3</f>
        <v>169</v>
      </c>
      <c r="V289" s="30">
        <f>156+2</f>
        <v>158</v>
      </c>
      <c r="W289" s="30">
        <v>121</v>
      </c>
      <c r="X289" s="30">
        <f>137+4</f>
        <v>141</v>
      </c>
      <c r="Y289" s="30">
        <f>132+3</f>
        <v>135</v>
      </c>
      <c r="Z289" s="30">
        <f>125+2</f>
        <v>127</v>
      </c>
      <c r="AA289" s="30">
        <f>112+3</f>
        <v>115</v>
      </c>
      <c r="AB289" s="30">
        <v>103</v>
      </c>
      <c r="AC289" s="30">
        <f>85+2</f>
        <v>87</v>
      </c>
      <c r="AD289" s="30">
        <f>77+4</f>
        <v>81</v>
      </c>
      <c r="AE289" s="30">
        <f>73+50+1</f>
        <v>124</v>
      </c>
      <c r="AF289" s="30">
        <f>58+50+3</f>
        <v>111</v>
      </c>
      <c r="AG289" s="30">
        <f>52+47</f>
        <v>99</v>
      </c>
      <c r="AH289" s="30">
        <f>74+13</f>
        <v>87</v>
      </c>
      <c r="AI289" s="30">
        <f>78+7</f>
        <v>85</v>
      </c>
      <c r="AJ289" s="30">
        <f>72+3</f>
        <v>75</v>
      </c>
    </row>
    <row r="290" spans="1:69" ht="80.099999999999994" customHeight="1">
      <c r="A290" s="125" t="s">
        <v>1405</v>
      </c>
      <c r="B290" s="79"/>
      <c r="C290" s="78" t="s">
        <v>953</v>
      </c>
      <c r="D290" s="58" t="s">
        <v>623</v>
      </c>
      <c r="E290" s="76"/>
      <c r="F290" s="99" t="s">
        <v>624</v>
      </c>
      <c r="G290" s="25"/>
      <c r="H290" s="25"/>
      <c r="J290" s="30">
        <f>18+3</f>
        <v>21</v>
      </c>
      <c r="K290" s="30">
        <f>17+5</f>
        <v>22</v>
      </c>
      <c r="L290" s="30">
        <f>14+6</f>
        <v>20</v>
      </c>
      <c r="M290" s="30">
        <f>13+5</f>
        <v>18</v>
      </c>
      <c r="N290" s="30">
        <f>6+7</f>
        <v>13</v>
      </c>
      <c r="O290" s="30">
        <f>7+1</f>
        <v>8</v>
      </c>
      <c r="P290" s="30">
        <f>6+2</f>
        <v>8</v>
      </c>
      <c r="Q290" s="30">
        <f>5+24</f>
        <v>29</v>
      </c>
      <c r="R290" s="30">
        <v>25</v>
      </c>
      <c r="S290" s="30">
        <v>18</v>
      </c>
      <c r="T290" s="30">
        <f>16+50+1</f>
        <v>67</v>
      </c>
      <c r="U290" s="30">
        <f>15+50</f>
        <v>65</v>
      </c>
      <c r="V290" s="30">
        <v>62</v>
      </c>
      <c r="W290" s="30">
        <v>51</v>
      </c>
      <c r="X290" s="30">
        <v>47</v>
      </c>
      <c r="Y290" s="30">
        <v>45</v>
      </c>
      <c r="Z290" s="30">
        <v>44</v>
      </c>
      <c r="AA290" s="30">
        <v>43</v>
      </c>
      <c r="AB290" s="30">
        <f>38+1</f>
        <v>39</v>
      </c>
      <c r="AC290" s="30">
        <v>35</v>
      </c>
      <c r="AD290" s="30">
        <f>28+2</f>
        <v>30</v>
      </c>
      <c r="AE290" s="30">
        <f>28+1</f>
        <v>29</v>
      </c>
      <c r="AF290" s="30">
        <f>20+3</f>
        <v>23</v>
      </c>
      <c r="AG290" s="30">
        <f>16+30+2</f>
        <v>48</v>
      </c>
      <c r="AH290" s="30">
        <f>14+30+1</f>
        <v>45</v>
      </c>
      <c r="AI290" s="30">
        <f>10+30</f>
        <v>40</v>
      </c>
      <c r="AJ290" s="30">
        <f>15+23</f>
        <v>38</v>
      </c>
    </row>
    <row r="291" spans="1:69" ht="80.099999999999994" customHeight="1">
      <c r="A291" s="125" t="s">
        <v>1405</v>
      </c>
      <c r="B291" s="79"/>
      <c r="C291" s="78" t="s">
        <v>954</v>
      </c>
      <c r="D291" s="58" t="s">
        <v>625</v>
      </c>
      <c r="E291" s="76"/>
      <c r="F291" s="99" t="s">
        <v>626</v>
      </c>
      <c r="G291" s="25"/>
      <c r="H291" s="25"/>
      <c r="J291" s="30">
        <f>15+73+2</f>
        <v>90</v>
      </c>
      <c r="K291" s="30">
        <f>12+75</f>
        <v>87</v>
      </c>
      <c r="L291" s="30">
        <f>19+63</f>
        <v>82</v>
      </c>
      <c r="M291" s="30">
        <f>24+56</f>
        <v>80</v>
      </c>
      <c r="N291" s="30">
        <f>17+54</f>
        <v>71</v>
      </c>
      <c r="O291" s="30">
        <f>39+29</f>
        <v>68</v>
      </c>
      <c r="P291" s="30">
        <f>40+26</f>
        <v>66</v>
      </c>
      <c r="Q291" s="30">
        <f>45+16</f>
        <v>61</v>
      </c>
      <c r="R291" s="30">
        <f>34+3</f>
        <v>37</v>
      </c>
      <c r="S291" s="30">
        <f>34+1</f>
        <v>35</v>
      </c>
      <c r="T291" s="30">
        <f>46+50</f>
        <v>96</v>
      </c>
      <c r="U291" s="30">
        <f>41+50+1</f>
        <v>92</v>
      </c>
      <c r="V291" s="30">
        <f>40+50+1</f>
        <v>91</v>
      </c>
      <c r="W291" s="30">
        <f>85+3</f>
        <v>88</v>
      </c>
      <c r="X291" s="30">
        <f>81+1</f>
        <v>82</v>
      </c>
      <c r="Y291" s="30">
        <f>79+2</f>
        <v>81</v>
      </c>
      <c r="Z291" s="30">
        <f>77+3</f>
        <v>80</v>
      </c>
      <c r="AA291" s="30">
        <f>76+1</f>
        <v>77</v>
      </c>
      <c r="AB291" s="30">
        <f>71+6</f>
        <v>77</v>
      </c>
      <c r="AC291" s="30">
        <f>65+4</f>
        <v>69</v>
      </c>
      <c r="AD291" s="30">
        <f>54+6</f>
        <v>60</v>
      </c>
      <c r="AE291" s="30">
        <f>52+6</f>
        <v>58</v>
      </c>
      <c r="AF291" s="30">
        <f>46+6</f>
        <v>52</v>
      </c>
      <c r="AG291" s="30">
        <f>43+5</f>
        <v>48</v>
      </c>
      <c r="AH291" s="30">
        <f>36+3</f>
        <v>39</v>
      </c>
      <c r="AI291" s="30">
        <f>32+5</f>
        <v>37</v>
      </c>
      <c r="AJ291" s="30">
        <f>31+2</f>
        <v>33</v>
      </c>
    </row>
    <row r="292" spans="1:69" ht="80.099999999999994" customHeight="1">
      <c r="A292" s="125" t="s">
        <v>32</v>
      </c>
      <c r="B292" s="79"/>
      <c r="C292" s="75" t="s">
        <v>955</v>
      </c>
      <c r="D292" s="58" t="s">
        <v>627</v>
      </c>
      <c r="E292" s="76"/>
      <c r="F292" s="99" t="s">
        <v>628</v>
      </c>
      <c r="G292" s="25"/>
      <c r="H292" s="25"/>
      <c r="J292" s="30">
        <f>27+2</f>
        <v>29</v>
      </c>
      <c r="K292" s="30">
        <f>25+1</f>
        <v>26</v>
      </c>
      <c r="L292" s="30">
        <v>23</v>
      </c>
      <c r="M292" s="30">
        <f>17+4</f>
        <v>21</v>
      </c>
      <c r="N292" s="30">
        <f>17+10+3</f>
        <v>30</v>
      </c>
      <c r="O292" s="30">
        <f>13+10+1</f>
        <v>24</v>
      </c>
      <c r="P292" s="30">
        <f>12+10+2</f>
        <v>24</v>
      </c>
      <c r="Q292" s="30">
        <f>11+10+1</f>
        <v>22</v>
      </c>
      <c r="R292" s="30">
        <f>7+12</f>
        <v>19</v>
      </c>
      <c r="S292" s="30">
        <f>6+9</f>
        <v>15</v>
      </c>
      <c r="T292" s="30">
        <f>10+20+5</f>
        <v>35</v>
      </c>
      <c r="U292" s="30">
        <f>12+20+0</f>
        <v>32</v>
      </c>
      <c r="V292" s="30">
        <f>9+20</f>
        <v>29</v>
      </c>
      <c r="W292" s="30">
        <f>17+30+2</f>
        <v>49</v>
      </c>
      <c r="X292" s="30">
        <f>13+33</f>
        <v>46</v>
      </c>
      <c r="Y292" s="30">
        <f>39+3</f>
        <v>42</v>
      </c>
      <c r="Z292" s="30">
        <f>36+5</f>
        <v>41</v>
      </c>
      <c r="AA292" s="30">
        <f>39+1</f>
        <v>40</v>
      </c>
      <c r="AB292" s="30">
        <f>35+3</f>
        <v>38</v>
      </c>
      <c r="AC292" s="30">
        <f>32+4</f>
        <v>36</v>
      </c>
      <c r="AD292" s="30">
        <f>31+1</f>
        <v>32</v>
      </c>
      <c r="AE292" s="30">
        <f>26+30+1</f>
        <v>57</v>
      </c>
      <c r="AF292" s="30">
        <f>23+30+1</f>
        <v>54</v>
      </c>
      <c r="AG292" s="30">
        <f>23+27</f>
        <v>50</v>
      </c>
      <c r="AH292" s="30">
        <f>37+8</f>
        <v>45</v>
      </c>
      <c r="AI292" s="30">
        <f>43+2</f>
        <v>45</v>
      </c>
      <c r="AJ292" s="30">
        <f>35+3</f>
        <v>38</v>
      </c>
    </row>
    <row r="293" spans="1:69" ht="80.099999999999994" customHeight="1">
      <c r="A293" s="125" t="s">
        <v>32</v>
      </c>
      <c r="B293" s="79"/>
      <c r="C293" s="75" t="s">
        <v>984</v>
      </c>
      <c r="D293" s="58" t="s">
        <v>629</v>
      </c>
      <c r="E293" s="76"/>
      <c r="F293" s="99" t="s">
        <v>630</v>
      </c>
      <c r="G293" s="25"/>
      <c r="H293" s="25"/>
      <c r="J293" s="30">
        <f>36+2</f>
        <v>38</v>
      </c>
      <c r="K293" s="30">
        <f>34+1</f>
        <v>35</v>
      </c>
      <c r="L293" s="30">
        <f>32</f>
        <v>32</v>
      </c>
      <c r="M293" s="30">
        <f>29+1</f>
        <v>30</v>
      </c>
      <c r="N293" s="30">
        <f>21+15+1</f>
        <v>37</v>
      </c>
      <c r="O293" s="30">
        <f>20+15</f>
        <v>35</v>
      </c>
      <c r="P293" s="30">
        <f>20+15</f>
        <v>35</v>
      </c>
      <c r="Q293" s="30">
        <f>17+38</f>
        <v>55</v>
      </c>
      <c r="R293" s="30">
        <f>22+23+8</f>
        <v>53</v>
      </c>
      <c r="S293" s="30">
        <f>19+23+9</f>
        <v>51</v>
      </c>
      <c r="T293" s="30">
        <f>17+30+30</f>
        <v>77</v>
      </c>
      <c r="U293" s="30">
        <f>39+30</f>
        <v>69</v>
      </c>
      <c r="V293" s="30">
        <f>42+30</f>
        <v>72</v>
      </c>
      <c r="W293" s="30">
        <f>48+4</f>
        <v>52</v>
      </c>
      <c r="X293" s="30">
        <f>42+3</f>
        <v>45</v>
      </c>
      <c r="Y293" s="30">
        <f>37+4</f>
        <v>41</v>
      </c>
      <c r="Z293" s="30">
        <f>34+20+6</f>
        <v>60</v>
      </c>
      <c r="AA293" s="30">
        <f>31+24</f>
        <v>55</v>
      </c>
      <c r="AB293" s="30">
        <f>40+13</f>
        <v>53</v>
      </c>
      <c r="AC293" s="30">
        <f>43+2</f>
        <v>45</v>
      </c>
      <c r="AD293" s="30">
        <f>35+5</f>
        <v>40</v>
      </c>
      <c r="AE293" s="30">
        <f>29+20+5</f>
        <v>54</v>
      </c>
      <c r="AF293" s="30">
        <f>17+20+3</f>
        <v>40</v>
      </c>
      <c r="AG293" s="30">
        <f>15+20</f>
        <v>35</v>
      </c>
      <c r="AH293" s="30">
        <f>20+7</f>
        <v>27</v>
      </c>
      <c r="AI293" s="30">
        <f>20+5</f>
        <v>25</v>
      </c>
      <c r="AJ293" s="30">
        <f>16+50+3</f>
        <v>69</v>
      </c>
    </row>
    <row r="294" spans="1:69" s="32" customFormat="1" ht="80.099999999999994" customHeight="1">
      <c r="A294" s="125" t="s">
        <v>32</v>
      </c>
      <c r="B294" s="79"/>
      <c r="C294" s="75" t="s">
        <v>632</v>
      </c>
      <c r="D294" s="58" t="s">
        <v>631</v>
      </c>
      <c r="E294" s="76"/>
      <c r="F294" s="99" t="s">
        <v>633</v>
      </c>
      <c r="G294" s="25"/>
      <c r="H294" s="25"/>
      <c r="I294" s="23"/>
      <c r="J294" s="30">
        <v>38</v>
      </c>
      <c r="K294" s="30">
        <f>37+1</f>
        <v>38</v>
      </c>
      <c r="L294" s="30">
        <v>35</v>
      </c>
      <c r="M294" s="30">
        <f>33+1</f>
        <v>34</v>
      </c>
      <c r="N294" s="30">
        <f>31+1</f>
        <v>32</v>
      </c>
      <c r="O294" s="30">
        <f>30+1</f>
        <v>31</v>
      </c>
      <c r="P294" s="30">
        <f>31+1</f>
        <v>32</v>
      </c>
      <c r="Q294" s="30">
        <v>29</v>
      </c>
      <c r="R294" s="30">
        <v>27</v>
      </c>
      <c r="S294" s="30">
        <v>25</v>
      </c>
      <c r="T294" s="30">
        <v>24</v>
      </c>
      <c r="U294" s="30">
        <v>25</v>
      </c>
      <c r="V294" s="30">
        <f>24+1</f>
        <v>25</v>
      </c>
      <c r="W294" s="30">
        <v>20</v>
      </c>
      <c r="X294" s="30">
        <v>18</v>
      </c>
      <c r="Y294" s="30">
        <v>18</v>
      </c>
      <c r="Z294" s="30">
        <f>17+1</f>
        <v>18</v>
      </c>
      <c r="AA294" s="30">
        <v>17</v>
      </c>
      <c r="AB294" s="30">
        <f>14+1</f>
        <v>15</v>
      </c>
      <c r="AC294" s="30">
        <f>12+1</f>
        <v>13</v>
      </c>
      <c r="AD294" s="30">
        <v>10</v>
      </c>
      <c r="AE294" s="30">
        <v>11</v>
      </c>
      <c r="AF294" s="30">
        <f>2+1</f>
        <v>3</v>
      </c>
      <c r="AG294" s="30">
        <f>2+30</f>
        <v>32</v>
      </c>
      <c r="AH294" s="30">
        <f>0+50</f>
        <v>50</v>
      </c>
      <c r="AI294" s="30">
        <f>0+50</f>
        <v>50</v>
      </c>
      <c r="AJ294" s="30">
        <f>5+43</f>
        <v>48</v>
      </c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</row>
    <row r="295" spans="1:69" ht="80.099999999999994" customHeight="1">
      <c r="A295" s="125" t="s">
        <v>32</v>
      </c>
      <c r="B295" s="79"/>
      <c r="C295" s="75" t="s">
        <v>635</v>
      </c>
      <c r="D295" s="58" t="s">
        <v>634</v>
      </c>
      <c r="E295" s="76"/>
      <c r="F295" s="99" t="s">
        <v>636</v>
      </c>
      <c r="G295" s="25"/>
      <c r="H295" s="25"/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  <c r="V295" s="30">
        <v>0</v>
      </c>
      <c r="W295" s="30">
        <v>0</v>
      </c>
      <c r="X295" s="30">
        <v>0</v>
      </c>
      <c r="Y295" s="30">
        <v>0</v>
      </c>
      <c r="Z295" s="30">
        <v>0</v>
      </c>
      <c r="AA295" s="30">
        <v>0</v>
      </c>
      <c r="AB295" s="30">
        <v>0</v>
      </c>
      <c r="AC295" s="30">
        <v>0</v>
      </c>
      <c r="AD295" s="30">
        <v>0</v>
      </c>
      <c r="AE295" s="30">
        <v>0</v>
      </c>
      <c r="AF295" s="30">
        <v>0</v>
      </c>
      <c r="AG295" s="30">
        <v>0</v>
      </c>
      <c r="AH295" s="30">
        <v>0</v>
      </c>
      <c r="AI295" s="30">
        <v>0</v>
      </c>
      <c r="AJ295" s="30">
        <v>0</v>
      </c>
    </row>
    <row r="296" spans="1:69" ht="80.099999999999994" customHeight="1">
      <c r="A296" s="125" t="s">
        <v>32</v>
      </c>
      <c r="B296" s="79"/>
      <c r="C296" s="78" t="s">
        <v>1385</v>
      </c>
      <c r="D296" s="60" t="s">
        <v>1384</v>
      </c>
      <c r="E296" s="76"/>
      <c r="F296" s="77" t="s">
        <v>1386</v>
      </c>
      <c r="G296" s="25"/>
      <c r="H296" s="25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</row>
    <row r="297" spans="1:69" ht="80.099999999999994" customHeight="1">
      <c r="A297" s="125" t="s">
        <v>1404</v>
      </c>
      <c r="B297" s="79"/>
      <c r="C297" s="78" t="s">
        <v>1357</v>
      </c>
      <c r="D297" s="60" t="s">
        <v>1358</v>
      </c>
      <c r="E297" s="76" t="s">
        <v>1356</v>
      </c>
      <c r="F297" s="77" t="s">
        <v>1359</v>
      </c>
      <c r="G297" s="25"/>
      <c r="H297" s="25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</row>
    <row r="298" spans="1:69" ht="80.099999999999994" customHeight="1">
      <c r="A298" s="125" t="s">
        <v>1437</v>
      </c>
      <c r="B298" s="79"/>
      <c r="C298" s="75" t="s">
        <v>1017</v>
      </c>
      <c r="D298" s="60" t="s">
        <v>637</v>
      </c>
      <c r="E298" s="94"/>
      <c r="F298" s="114" t="s">
        <v>638</v>
      </c>
      <c r="G298" s="25"/>
      <c r="H298" s="44"/>
      <c r="I298" s="30"/>
      <c r="J298" s="32">
        <f>0+117+0</f>
        <v>117</v>
      </c>
      <c r="K298" s="32">
        <f>0+97</f>
        <v>97</v>
      </c>
      <c r="L298" s="32">
        <f>5+106</f>
        <v>111</v>
      </c>
      <c r="M298" s="32">
        <f>6+103</f>
        <v>109</v>
      </c>
      <c r="N298" s="32">
        <f>0+97</f>
        <v>97</v>
      </c>
      <c r="O298" s="32">
        <f>18+71</f>
        <v>89</v>
      </c>
      <c r="P298" s="32">
        <f>29+58</f>
        <v>87</v>
      </c>
      <c r="Q298" s="32">
        <f>45+30+33</f>
        <v>108</v>
      </c>
      <c r="R298" s="32">
        <f>34+30+4</f>
        <v>68</v>
      </c>
      <c r="S298" s="32">
        <f>24+30+7</f>
        <v>61</v>
      </c>
      <c r="T298" s="32">
        <f>30+100+35</f>
        <v>165</v>
      </c>
      <c r="U298" s="32">
        <f>47+100+4</f>
        <v>151</v>
      </c>
      <c r="V298" s="32">
        <f>41+100+4</f>
        <v>145</v>
      </c>
      <c r="W298" s="32">
        <v>116</v>
      </c>
      <c r="X298" s="32">
        <f>107+0</f>
        <v>107</v>
      </c>
      <c r="Y298" s="32">
        <f>98+3</f>
        <v>101</v>
      </c>
      <c r="Z298" s="32">
        <f>95+4</f>
        <v>99</v>
      </c>
      <c r="AA298" s="32">
        <f>89+5</f>
        <v>94</v>
      </c>
      <c r="AB298" s="30">
        <f>75+6</f>
        <v>81</v>
      </c>
      <c r="AC298" s="30">
        <f>74+3</f>
        <v>77</v>
      </c>
      <c r="AD298" s="30">
        <f>62+3+50</f>
        <v>115</v>
      </c>
      <c r="AE298" s="30">
        <f>82+29</f>
        <v>111</v>
      </c>
      <c r="AF298" s="30">
        <f>101+2</f>
        <v>103</v>
      </c>
      <c r="AG298" s="30">
        <f>95+0</f>
        <v>95</v>
      </c>
      <c r="AH298" s="30">
        <f>73+3</f>
        <v>76</v>
      </c>
      <c r="AI298" s="30">
        <f>67+7</f>
        <v>74</v>
      </c>
      <c r="AJ298" s="30">
        <f>62+50+6</f>
        <v>118</v>
      </c>
    </row>
    <row r="299" spans="1:69" ht="80.099999999999994" customHeight="1">
      <c r="A299" s="125" t="s">
        <v>1437</v>
      </c>
      <c r="B299" s="79"/>
      <c r="C299" s="78" t="s">
        <v>1220</v>
      </c>
      <c r="D299" s="60" t="s">
        <v>1219</v>
      </c>
      <c r="E299" s="76"/>
      <c r="F299" s="77" t="s">
        <v>1221</v>
      </c>
      <c r="G299" s="25"/>
      <c r="H299" s="25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>
        <f>0+3</f>
        <v>3</v>
      </c>
    </row>
    <row r="300" spans="1:69" ht="80.099999999999994" customHeight="1">
      <c r="A300" s="125" t="s">
        <v>1437</v>
      </c>
      <c r="B300" s="79"/>
      <c r="C300" s="78" t="s">
        <v>1235</v>
      </c>
      <c r="D300" s="60" t="s">
        <v>1234</v>
      </c>
      <c r="E300" s="76"/>
      <c r="F300" s="77" t="s">
        <v>1236</v>
      </c>
      <c r="G300" s="25"/>
      <c r="H300" s="25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>
        <v>0</v>
      </c>
    </row>
    <row r="301" spans="1:69" ht="80.099999999999994" customHeight="1">
      <c r="A301" s="125" t="s">
        <v>1437</v>
      </c>
      <c r="B301" s="79"/>
      <c r="C301" s="78" t="s">
        <v>1228</v>
      </c>
      <c r="D301" s="60" t="s">
        <v>1229</v>
      </c>
      <c r="E301" s="76"/>
      <c r="F301" s="77" t="s">
        <v>1230</v>
      </c>
      <c r="G301" s="25"/>
      <c r="H301" s="25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>
        <f>0+2</f>
        <v>2</v>
      </c>
    </row>
    <row r="302" spans="1:69" ht="80.099999999999994" customHeight="1">
      <c r="A302" s="125" t="s">
        <v>1437</v>
      </c>
      <c r="B302" s="79"/>
      <c r="C302" s="78" t="s">
        <v>1214</v>
      </c>
      <c r="D302" s="60" t="s">
        <v>1213</v>
      </c>
      <c r="E302" s="76"/>
      <c r="F302" s="77" t="s">
        <v>1215</v>
      </c>
      <c r="G302" s="25"/>
      <c r="H302" s="25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>
        <f>0+2</f>
        <v>2</v>
      </c>
    </row>
    <row r="303" spans="1:69" ht="80.099999999999994" customHeight="1">
      <c r="A303" s="125" t="s">
        <v>1437</v>
      </c>
      <c r="B303" s="79"/>
      <c r="C303" s="78" t="s">
        <v>1231</v>
      </c>
      <c r="D303" s="60" t="s">
        <v>1233</v>
      </c>
      <c r="E303" s="76"/>
      <c r="F303" s="77" t="s">
        <v>1232</v>
      </c>
      <c r="G303" s="25"/>
      <c r="H303" s="25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>
        <f>0+5</f>
        <v>5</v>
      </c>
    </row>
    <row r="304" spans="1:69" ht="80.099999999999994" customHeight="1">
      <c r="A304" s="125" t="s">
        <v>1437</v>
      </c>
      <c r="B304" s="79"/>
      <c r="C304" s="78" t="s">
        <v>1217</v>
      </c>
      <c r="D304" s="60" t="s">
        <v>1216</v>
      </c>
      <c r="E304" s="76"/>
      <c r="F304" s="77" t="s">
        <v>1218</v>
      </c>
      <c r="G304" s="25"/>
      <c r="H304" s="25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>
        <v>0</v>
      </c>
    </row>
    <row r="305" spans="1:36" ht="80.099999999999994" customHeight="1">
      <c r="A305" s="125" t="s">
        <v>1437</v>
      </c>
      <c r="B305" s="79"/>
      <c r="C305" s="78" t="s">
        <v>1222</v>
      </c>
      <c r="D305" s="60" t="s">
        <v>1223</v>
      </c>
      <c r="E305" s="76"/>
      <c r="F305" s="77" t="s">
        <v>1224</v>
      </c>
      <c r="G305" s="25"/>
      <c r="H305" s="25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>
        <f>0+5</f>
        <v>5</v>
      </c>
    </row>
    <row r="306" spans="1:36" ht="80.099999999999994" customHeight="1">
      <c r="A306" s="125" t="s">
        <v>1437</v>
      </c>
      <c r="B306" s="79"/>
      <c r="C306" s="78" t="s">
        <v>1225</v>
      </c>
      <c r="D306" s="60" t="s">
        <v>1226</v>
      </c>
      <c r="E306" s="76"/>
      <c r="F306" s="77" t="s">
        <v>1227</v>
      </c>
      <c r="G306" s="25"/>
      <c r="H306" s="25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>
        <f>0+2</f>
        <v>2</v>
      </c>
    </row>
    <row r="307" spans="1:36" ht="80.099999999999994" customHeight="1">
      <c r="A307" s="125" t="s">
        <v>1437</v>
      </c>
      <c r="B307" s="79"/>
      <c r="C307" s="78" t="s">
        <v>1211</v>
      </c>
      <c r="D307" s="60" t="s">
        <v>1210</v>
      </c>
      <c r="E307" s="76"/>
      <c r="F307" s="77" t="s">
        <v>1212</v>
      </c>
      <c r="G307" s="25"/>
      <c r="H307" s="25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>
        <f>0+4</f>
        <v>4</v>
      </c>
    </row>
    <row r="308" spans="1:36" ht="80.099999999999994" customHeight="1">
      <c r="A308" s="125" t="s">
        <v>1437</v>
      </c>
      <c r="B308" s="79"/>
      <c r="C308" s="78" t="s">
        <v>1283</v>
      </c>
      <c r="D308" s="60" t="s">
        <v>1284</v>
      </c>
      <c r="E308" s="76"/>
      <c r="F308" s="77" t="s">
        <v>1285</v>
      </c>
      <c r="G308" s="25"/>
      <c r="H308" s="25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</row>
    <row r="309" spans="1:36" ht="80.099999999999994" customHeight="1">
      <c r="A309" s="125" t="s">
        <v>1437</v>
      </c>
      <c r="B309" s="79"/>
      <c r="C309" s="78" t="s">
        <v>1399</v>
      </c>
      <c r="D309" s="60" t="s">
        <v>1398</v>
      </c>
      <c r="E309" s="76"/>
      <c r="F309" s="77" t="s">
        <v>1400</v>
      </c>
      <c r="G309" s="25"/>
      <c r="H309" s="25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</row>
    <row r="310" spans="1:36" ht="80.099999999999994" customHeight="1">
      <c r="A310" s="125" t="s">
        <v>8</v>
      </c>
      <c r="B310" s="79"/>
      <c r="C310" s="78" t="s">
        <v>1018</v>
      </c>
      <c r="D310" s="58" t="s">
        <v>639</v>
      </c>
      <c r="E310" s="76">
        <v>5</v>
      </c>
      <c r="F310" s="99" t="s">
        <v>640</v>
      </c>
      <c r="G310" s="25"/>
      <c r="H310" s="25"/>
      <c r="J310" s="30">
        <f>98+1</f>
        <v>99</v>
      </c>
      <c r="K310" s="30">
        <f>85+5</f>
        <v>90</v>
      </c>
      <c r="L310" s="30">
        <f>83+4</f>
        <v>87</v>
      </c>
      <c r="M310" s="30">
        <f>80+1</f>
        <v>81</v>
      </c>
      <c r="N310" s="30">
        <f>73+2</f>
        <v>75</v>
      </c>
      <c r="O310" s="30">
        <f>70+1</f>
        <v>71</v>
      </c>
      <c r="P310" s="30">
        <f>70</f>
        <v>70</v>
      </c>
      <c r="Q310" s="30">
        <f>55+6</f>
        <v>61</v>
      </c>
      <c r="R310" s="30">
        <f>51+4</f>
        <v>55</v>
      </c>
      <c r="S310" s="30">
        <v>50</v>
      </c>
      <c r="T310" s="30">
        <f>44+2</f>
        <v>46</v>
      </c>
      <c r="U310" s="30">
        <f>42+1</f>
        <v>43</v>
      </c>
      <c r="V310" s="30">
        <f>37+1</f>
        <v>38</v>
      </c>
      <c r="W310" s="30">
        <f>29+2</f>
        <v>31</v>
      </c>
      <c r="X310" s="30">
        <f>18+1</f>
        <v>19</v>
      </c>
      <c r="Y310" s="30">
        <f>14+1</f>
        <v>15</v>
      </c>
      <c r="Z310" s="30">
        <f>15+30</f>
        <v>45</v>
      </c>
      <c r="AA310" s="30">
        <f>9+32</f>
        <v>41</v>
      </c>
      <c r="AB310" s="30">
        <f>19+18</f>
        <v>37</v>
      </c>
      <c r="AC310" s="30">
        <f>27+3</f>
        <v>30</v>
      </c>
      <c r="AD310" s="30">
        <f>27+1+20</f>
        <v>48</v>
      </c>
      <c r="AE310" s="30">
        <f>24+16</f>
        <v>40</v>
      </c>
      <c r="AF310" s="30">
        <f>32+2</f>
        <v>34</v>
      </c>
      <c r="AG310" s="30">
        <f>33+1</f>
        <v>34</v>
      </c>
      <c r="AH310" s="30">
        <f>29+1</f>
        <v>30</v>
      </c>
      <c r="AI310" s="30">
        <f>27+2</f>
        <v>29</v>
      </c>
      <c r="AJ310" s="30">
        <f>24+2</f>
        <v>26</v>
      </c>
    </row>
    <row r="311" spans="1:36" ht="80.099999999999994" customHeight="1">
      <c r="A311" s="125" t="s">
        <v>8</v>
      </c>
      <c r="B311" s="79"/>
      <c r="C311" s="78" t="s">
        <v>956</v>
      </c>
      <c r="D311" s="58" t="s">
        <v>641</v>
      </c>
      <c r="E311" s="76">
        <v>8</v>
      </c>
      <c r="F311" s="99" t="s">
        <v>642</v>
      </c>
      <c r="G311" s="25"/>
      <c r="H311" s="25"/>
      <c r="J311" s="30">
        <f>140+10</f>
        <v>150</v>
      </c>
      <c r="K311" s="30">
        <f>122+12</f>
        <v>134</v>
      </c>
      <c r="L311" s="30">
        <f>102+11</f>
        <v>113</v>
      </c>
      <c r="M311" s="30">
        <f>96+8</f>
        <v>104</v>
      </c>
      <c r="N311" s="30">
        <f>78+6</f>
        <v>84</v>
      </c>
      <c r="O311" s="30">
        <f>58+7</f>
        <v>65</v>
      </c>
      <c r="P311" s="30">
        <f>57+4</f>
        <v>61</v>
      </c>
      <c r="Q311" s="30">
        <f>19+50+20</f>
        <v>89</v>
      </c>
      <c r="R311" s="30">
        <f>0+50+3</f>
        <v>53</v>
      </c>
      <c r="S311" s="30">
        <f>0+100+1</f>
        <v>101</v>
      </c>
      <c r="T311" s="30">
        <f>23+100+70</f>
        <v>193</v>
      </c>
      <c r="U311" s="30">
        <f>62+100+4</f>
        <v>166</v>
      </c>
      <c r="V311" s="30">
        <f>46+150+8</f>
        <v>204</v>
      </c>
      <c r="W311" s="30">
        <f>127+6</f>
        <v>133</v>
      </c>
      <c r="X311" s="30">
        <f>106+50+13</f>
        <v>169</v>
      </c>
      <c r="Y311" s="30">
        <f>96+50+14</f>
        <v>160</v>
      </c>
      <c r="Z311" s="30">
        <f>82+50+20</f>
        <v>152</v>
      </c>
      <c r="AA311" s="30">
        <f>100+28</f>
        <v>128</v>
      </c>
      <c r="AB311" s="30">
        <f>100+9</f>
        <v>109</v>
      </c>
      <c r="AC311" s="30">
        <f>79+10</f>
        <v>89</v>
      </c>
      <c r="AD311" s="30">
        <f>59+7+38</f>
        <v>104</v>
      </c>
      <c r="AE311" s="30">
        <f>53+21</f>
        <v>74</v>
      </c>
      <c r="AF311" s="30">
        <f>56+11</f>
        <v>67</v>
      </c>
      <c r="AG311" s="30">
        <f>53+6</f>
        <v>59</v>
      </c>
      <c r="AH311" s="30">
        <f>33+20+5</f>
        <v>58</v>
      </c>
      <c r="AI311" s="30">
        <f>23+23</f>
        <v>46</v>
      </c>
      <c r="AJ311" s="30">
        <f>18+18</f>
        <v>36</v>
      </c>
    </row>
    <row r="312" spans="1:36" ht="80.099999999999994" customHeight="1">
      <c r="A312" s="125" t="s">
        <v>8</v>
      </c>
      <c r="B312" s="79"/>
      <c r="C312" s="78" t="s">
        <v>957</v>
      </c>
      <c r="D312" s="58" t="s">
        <v>429</v>
      </c>
      <c r="E312" s="76">
        <v>9</v>
      </c>
      <c r="F312" s="99" t="s">
        <v>643</v>
      </c>
      <c r="G312" s="25"/>
      <c r="H312" s="25"/>
      <c r="J312" s="30">
        <f>85+4</f>
        <v>89</v>
      </c>
      <c r="K312" s="30">
        <f>78+3</f>
        <v>81</v>
      </c>
      <c r="L312" s="30">
        <f>65+2</f>
        <v>67</v>
      </c>
      <c r="M312" s="30">
        <f>64+1</f>
        <v>65</v>
      </c>
      <c r="N312" s="30">
        <f>53+3</f>
        <v>56</v>
      </c>
      <c r="O312" s="30">
        <f>46+2</f>
        <v>48</v>
      </c>
      <c r="P312" s="30">
        <v>45</v>
      </c>
      <c r="Q312" s="30">
        <f>33+7+5</f>
        <v>45</v>
      </c>
      <c r="R312" s="30">
        <f>14+7+6</f>
        <v>27</v>
      </c>
      <c r="S312" s="30">
        <f>15+57+1</f>
        <v>73</v>
      </c>
      <c r="T312" s="30">
        <f>60+50+9</f>
        <v>119</v>
      </c>
      <c r="U312" s="30">
        <f>63+50+2</f>
        <v>115</v>
      </c>
      <c r="V312" s="30">
        <f>50+100+6</f>
        <v>156</v>
      </c>
      <c r="W312" s="30">
        <f>115+9</f>
        <v>124</v>
      </c>
      <c r="X312" s="30">
        <f>108+30+6</f>
        <v>144</v>
      </c>
      <c r="Y312" s="30">
        <f>101+30+8</f>
        <v>139</v>
      </c>
      <c r="Z312" s="30">
        <f>99+30+4</f>
        <v>133</v>
      </c>
      <c r="AA312" s="30">
        <f>106+16</f>
        <v>122</v>
      </c>
      <c r="AB312" s="30">
        <f>103+8</f>
        <v>111</v>
      </c>
      <c r="AC312" s="30">
        <f>92+7</f>
        <v>99</v>
      </c>
      <c r="AD312" s="30">
        <f>85+8</f>
        <v>93</v>
      </c>
      <c r="AE312" s="30">
        <f>77+5</f>
        <v>82</v>
      </c>
      <c r="AF312" s="30">
        <f>61+30+4</f>
        <v>95</v>
      </c>
      <c r="AG312" s="30">
        <f>50+36</f>
        <v>86</v>
      </c>
      <c r="AH312" s="30">
        <f>66+20+7</f>
        <v>93</v>
      </c>
      <c r="AI312" s="30">
        <f>63+24</f>
        <v>87</v>
      </c>
      <c r="AJ312" s="30">
        <f>56+25</f>
        <v>81</v>
      </c>
    </row>
    <row r="313" spans="1:36" ht="80.099999999999994" customHeight="1">
      <c r="A313" s="125" t="s">
        <v>8</v>
      </c>
      <c r="B313" s="79"/>
      <c r="C313" s="78" t="s">
        <v>958</v>
      </c>
      <c r="D313" s="58" t="s">
        <v>644</v>
      </c>
      <c r="E313" s="76">
        <v>10</v>
      </c>
      <c r="F313" s="99" t="s">
        <v>645</v>
      </c>
      <c r="G313" s="25"/>
      <c r="H313" s="25"/>
      <c r="J313" s="45">
        <f>71+2</f>
        <v>73</v>
      </c>
      <c r="K313" s="45">
        <f>69+3</f>
        <v>72</v>
      </c>
      <c r="L313" s="45">
        <f>65+1</f>
        <v>66</v>
      </c>
      <c r="M313" s="45">
        <f>63+1</f>
        <v>64</v>
      </c>
      <c r="N313" s="45">
        <f>56+1</f>
        <v>57</v>
      </c>
      <c r="O313" s="45">
        <f>53+1</f>
        <v>54</v>
      </c>
      <c r="P313" s="45">
        <f>52+1</f>
        <v>53</v>
      </c>
      <c r="Q313" s="45">
        <f>43+20+1</f>
        <v>64</v>
      </c>
      <c r="R313" s="45">
        <f>31+20+3</f>
        <v>54</v>
      </c>
      <c r="S313" s="45">
        <f>30+20+1</f>
        <v>51</v>
      </c>
      <c r="T313" s="45">
        <f>30+10+22</f>
        <v>62</v>
      </c>
      <c r="U313" s="45">
        <f>50+10</f>
        <v>60</v>
      </c>
      <c r="V313" s="45">
        <f>47+10+1</f>
        <v>58</v>
      </c>
      <c r="W313" s="45">
        <f>30+2</f>
        <v>32</v>
      </c>
      <c r="X313" s="45">
        <f>22+10+1</f>
        <v>33</v>
      </c>
      <c r="Y313" s="45">
        <f>21+10+1</f>
        <v>32</v>
      </c>
      <c r="Z313" s="45">
        <f>15+10+1</f>
        <v>26</v>
      </c>
      <c r="AA313" s="45">
        <f>15+6</f>
        <v>21</v>
      </c>
      <c r="AB313" s="45">
        <f>10+4</f>
        <v>14</v>
      </c>
      <c r="AC313" s="45">
        <f>3+3</f>
        <v>6</v>
      </c>
      <c r="AD313" s="45">
        <f>0+2+20</f>
        <v>22</v>
      </c>
      <c r="AE313" s="45">
        <f>0+20</f>
        <v>20</v>
      </c>
      <c r="AF313" s="45">
        <f>13+3</f>
        <v>16</v>
      </c>
      <c r="AG313" s="45">
        <f>14+2</f>
        <v>16</v>
      </c>
      <c r="AH313" s="45">
        <f>11+1</f>
        <v>12</v>
      </c>
      <c r="AI313" s="45">
        <v>9</v>
      </c>
      <c r="AJ313" s="45">
        <f>8+10</f>
        <v>18</v>
      </c>
    </row>
    <row r="314" spans="1:36" ht="80.099999999999994" customHeight="1">
      <c r="A314" s="125" t="s">
        <v>8</v>
      </c>
      <c r="B314" s="79"/>
      <c r="C314" s="78" t="s">
        <v>647</v>
      </c>
      <c r="D314" s="58" t="s">
        <v>646</v>
      </c>
      <c r="E314" s="76">
        <v>11</v>
      </c>
      <c r="F314" s="99" t="s">
        <v>648</v>
      </c>
      <c r="G314" s="25"/>
      <c r="H314" s="25"/>
      <c r="J314" s="30">
        <v>80</v>
      </c>
      <c r="K314" s="30">
        <f>78+1</f>
        <v>79</v>
      </c>
      <c r="L314" s="30">
        <f>74+1</f>
        <v>75</v>
      </c>
      <c r="M314" s="30">
        <f>70+2</f>
        <v>72</v>
      </c>
      <c r="N314" s="30">
        <f>64+2</f>
        <v>66</v>
      </c>
      <c r="O314" s="30">
        <f>62+0</f>
        <v>62</v>
      </c>
      <c r="P314" s="30">
        <f>61+1</f>
        <v>62</v>
      </c>
      <c r="Q314" s="30">
        <f>51+7</f>
        <v>58</v>
      </c>
      <c r="R314" s="30">
        <f>44+2</f>
        <v>46</v>
      </c>
      <c r="S314" s="30">
        <f>42+2</f>
        <v>44</v>
      </c>
      <c r="T314" s="30">
        <f>40+0</f>
        <v>40</v>
      </c>
      <c r="U314" s="30">
        <f>38+1</f>
        <v>39</v>
      </c>
      <c r="V314" s="30">
        <f>34+3</f>
        <v>37</v>
      </c>
      <c r="W314" s="30">
        <f>21+2</f>
        <v>23</v>
      </c>
      <c r="X314" s="30">
        <f>21+1</f>
        <v>22</v>
      </c>
      <c r="Y314" s="30">
        <f>18+1</f>
        <v>19</v>
      </c>
      <c r="Z314" s="30">
        <f>17+20+2</f>
        <v>39</v>
      </c>
      <c r="AA314" s="30">
        <f>15+21</f>
        <v>36</v>
      </c>
      <c r="AB314" s="30">
        <f>24+15</f>
        <v>39</v>
      </c>
      <c r="AC314" s="30">
        <f>33+3</f>
        <v>36</v>
      </c>
      <c r="AD314" s="30">
        <f>29+3</f>
        <v>32</v>
      </c>
      <c r="AE314" s="30">
        <f>24+2</f>
        <v>26</v>
      </c>
      <c r="AF314" s="30">
        <f>21+2</f>
        <v>23</v>
      </c>
      <c r="AG314" s="30">
        <f>21+1</f>
        <v>22</v>
      </c>
      <c r="AH314" s="30">
        <v>16</v>
      </c>
      <c r="AI314" s="30">
        <f>15</f>
        <v>15</v>
      </c>
      <c r="AJ314" s="30">
        <f>12+10</f>
        <v>22</v>
      </c>
    </row>
    <row r="315" spans="1:36" ht="80.099999999999994" customHeight="1">
      <c r="A315" s="125" t="s">
        <v>8</v>
      </c>
      <c r="B315" s="79" t="s">
        <v>1062</v>
      </c>
      <c r="C315" s="78" t="s">
        <v>985</v>
      </c>
      <c r="D315" s="58" t="s">
        <v>649</v>
      </c>
      <c r="E315" s="76">
        <v>5</v>
      </c>
      <c r="F315" s="99" t="s">
        <v>650</v>
      </c>
      <c r="G315" s="25"/>
      <c r="H315" s="25"/>
      <c r="J315" s="30">
        <f>21+1</f>
        <v>22</v>
      </c>
      <c r="K315" s="30">
        <f>18+1</f>
        <v>19</v>
      </c>
      <c r="L315" s="30">
        <f>17+3</f>
        <v>20</v>
      </c>
      <c r="M315" s="30">
        <f>15+1</f>
        <v>16</v>
      </c>
      <c r="N315" s="30">
        <f>13+10+2</f>
        <v>25</v>
      </c>
      <c r="O315" s="30">
        <f>13+10</f>
        <v>23</v>
      </c>
      <c r="P315" s="30">
        <f>13+10</f>
        <v>23</v>
      </c>
      <c r="Q315" s="30">
        <f>8+10+3</f>
        <v>21</v>
      </c>
      <c r="R315" s="30">
        <f>6+12</f>
        <v>18</v>
      </c>
      <c r="S315" s="30">
        <f>2+11</f>
        <v>13</v>
      </c>
      <c r="T315" s="30">
        <f>0+8</f>
        <v>8</v>
      </c>
      <c r="U315" s="30">
        <f>4+2</f>
        <v>6</v>
      </c>
      <c r="V315" s="30">
        <f>5+10</f>
        <v>15</v>
      </c>
      <c r="W315" s="30">
        <v>4</v>
      </c>
      <c r="X315" s="30">
        <f>0+10+1</f>
        <v>11</v>
      </c>
      <c r="Y315" s="30">
        <f>0+10</f>
        <v>10</v>
      </c>
      <c r="Z315" s="30">
        <f>1+20</f>
        <v>21</v>
      </c>
      <c r="AA315" s="30">
        <f>16+5</f>
        <v>21</v>
      </c>
      <c r="AB315" s="30">
        <v>17</v>
      </c>
      <c r="AC315" s="30">
        <v>17</v>
      </c>
      <c r="AD315" s="30">
        <f>13+10</f>
        <v>23</v>
      </c>
      <c r="AE315" s="30">
        <f>12+11</f>
        <v>23</v>
      </c>
      <c r="AF315" s="30">
        <f>19+1</f>
        <v>20</v>
      </c>
      <c r="AG315" s="30">
        <f>17+1</f>
        <v>18</v>
      </c>
      <c r="AH315" s="30">
        <f>9+5</f>
        <v>14</v>
      </c>
      <c r="AI315" s="30">
        <v>11</v>
      </c>
      <c r="AJ315" s="30">
        <f>11+10</f>
        <v>21</v>
      </c>
    </row>
    <row r="316" spans="1:36" ht="80.099999999999994" customHeight="1">
      <c r="A316" s="125" t="s">
        <v>8</v>
      </c>
      <c r="B316" s="79" t="s">
        <v>1062</v>
      </c>
      <c r="C316" s="78" t="s">
        <v>959</v>
      </c>
      <c r="D316" s="58" t="s">
        <v>651</v>
      </c>
      <c r="E316" s="76">
        <v>10</v>
      </c>
      <c r="F316" s="99" t="s">
        <v>652</v>
      </c>
      <c r="G316" s="25"/>
      <c r="H316" s="25"/>
      <c r="J316" s="30">
        <f>15+5</f>
        <v>20</v>
      </c>
      <c r="K316" s="30">
        <v>15</v>
      </c>
      <c r="L316" s="30">
        <v>14</v>
      </c>
      <c r="M316" s="30">
        <f>13+0</f>
        <v>13</v>
      </c>
      <c r="N316" s="30">
        <f>8+10+3</f>
        <v>21</v>
      </c>
      <c r="O316" s="30">
        <f>8+10</f>
        <v>18</v>
      </c>
      <c r="P316" s="30">
        <f>5+10+1</f>
        <v>16</v>
      </c>
      <c r="Q316" s="30">
        <f>0+10+4</f>
        <v>14</v>
      </c>
      <c r="R316" s="30">
        <f>0+9</f>
        <v>9</v>
      </c>
      <c r="S316" s="30">
        <f>0+10+8</f>
        <v>18</v>
      </c>
      <c r="T316" s="30">
        <f>13+10+4</f>
        <v>27</v>
      </c>
      <c r="U316" s="30">
        <f>16+10</f>
        <v>26</v>
      </c>
      <c r="V316" s="30">
        <f>16+10+1</f>
        <v>27</v>
      </c>
      <c r="W316" s="30">
        <f>14+1</f>
        <v>15</v>
      </c>
      <c r="X316" s="30">
        <f>10+10+3</f>
        <v>23</v>
      </c>
      <c r="Y316" s="30">
        <f>6+9+5</f>
        <v>20</v>
      </c>
      <c r="Z316" s="30">
        <f>5+9+4</f>
        <v>18</v>
      </c>
      <c r="AA316" s="30">
        <f>5+4</f>
        <v>9</v>
      </c>
      <c r="AB316" s="30">
        <v>7</v>
      </c>
      <c r="AC316" s="30">
        <v>7</v>
      </c>
      <c r="AD316" s="30">
        <f>4+2+8</f>
        <v>14</v>
      </c>
      <c r="AE316" s="30">
        <f>1+8</f>
        <v>9</v>
      </c>
      <c r="AF316" s="30">
        <v>8</v>
      </c>
      <c r="AG316" s="30">
        <v>4</v>
      </c>
      <c r="AH316" s="30">
        <f>0+20</f>
        <v>20</v>
      </c>
      <c r="AI316" s="30">
        <f>0+20</f>
        <v>20</v>
      </c>
      <c r="AJ316" s="30">
        <f>6+13</f>
        <v>19</v>
      </c>
    </row>
    <row r="317" spans="1:36" ht="80.099999999999994" customHeight="1">
      <c r="A317" s="125" t="s">
        <v>8</v>
      </c>
      <c r="B317" s="79" t="s">
        <v>1062</v>
      </c>
      <c r="C317" s="78" t="s">
        <v>653</v>
      </c>
      <c r="D317" s="58" t="s">
        <v>303</v>
      </c>
      <c r="E317" s="76">
        <v>11</v>
      </c>
      <c r="F317" s="99" t="s">
        <v>654</v>
      </c>
      <c r="G317" s="25"/>
      <c r="H317" s="25"/>
      <c r="J317" s="30">
        <v>34</v>
      </c>
      <c r="K317" s="30">
        <v>34</v>
      </c>
      <c r="L317" s="30">
        <v>34</v>
      </c>
      <c r="M317" s="30">
        <f>31+0</f>
        <v>31</v>
      </c>
      <c r="N317" s="30">
        <f>28+2</f>
        <v>30</v>
      </c>
      <c r="O317" s="30">
        <f>28</f>
        <v>28</v>
      </c>
      <c r="P317" s="30">
        <f>27</f>
        <v>27</v>
      </c>
      <c r="Q317" s="30">
        <f>26+1</f>
        <v>27</v>
      </c>
      <c r="R317" s="30">
        <f>24+1</f>
        <v>25</v>
      </c>
      <c r="S317" s="30">
        <f>23+1</f>
        <v>24</v>
      </c>
      <c r="T317" s="30">
        <f>22</f>
        <v>22</v>
      </c>
      <c r="U317" s="30">
        <v>21</v>
      </c>
      <c r="V317" s="30">
        <v>21</v>
      </c>
      <c r="W317" s="30">
        <v>17</v>
      </c>
      <c r="X317" s="30">
        <v>16</v>
      </c>
      <c r="Y317" s="30">
        <v>17</v>
      </c>
      <c r="Z317" s="30">
        <f>16+1</f>
        <v>17</v>
      </c>
      <c r="AA317" s="30">
        <v>15</v>
      </c>
      <c r="AB317" s="30">
        <v>14</v>
      </c>
      <c r="AC317" s="30">
        <v>11</v>
      </c>
      <c r="AD317" s="30">
        <f>7+2</f>
        <v>9</v>
      </c>
      <c r="AE317" s="30">
        <v>8</v>
      </c>
      <c r="AF317" s="30">
        <f>8+10</f>
        <v>18</v>
      </c>
      <c r="AG317" s="30">
        <f>8+10</f>
        <v>18</v>
      </c>
      <c r="AH317" s="30">
        <f>17</f>
        <v>17</v>
      </c>
      <c r="AI317" s="30">
        <v>17</v>
      </c>
      <c r="AJ317" s="30">
        <f>15+1</f>
        <v>16</v>
      </c>
    </row>
    <row r="318" spans="1:36" ht="80.099999999999994" customHeight="1">
      <c r="A318" s="125"/>
      <c r="B318" s="79" t="s">
        <v>1054</v>
      </c>
      <c r="C318" s="78" t="s">
        <v>656</v>
      </c>
      <c r="D318" s="58" t="s">
        <v>655</v>
      </c>
      <c r="E318" s="76">
        <v>9</v>
      </c>
      <c r="F318" s="99" t="s">
        <v>657</v>
      </c>
      <c r="G318" s="25"/>
      <c r="H318" s="25"/>
      <c r="J318" s="30">
        <f>61+2</f>
        <v>63</v>
      </c>
      <c r="K318" s="30">
        <f>60+2</f>
        <v>62</v>
      </c>
      <c r="L318" s="30">
        <f>60+1</f>
        <v>61</v>
      </c>
      <c r="M318" s="30">
        <f>59+2</f>
        <v>61</v>
      </c>
      <c r="N318" s="30">
        <f>59+1</f>
        <v>60</v>
      </c>
      <c r="O318" s="30">
        <f>58+1</f>
        <v>59</v>
      </c>
      <c r="P318" s="30">
        <f>58+1</f>
        <v>59</v>
      </c>
      <c r="Q318" s="30">
        <f>58+1</f>
        <v>59</v>
      </c>
      <c r="R318" s="30">
        <f>57+1</f>
        <v>58</v>
      </c>
      <c r="S318" s="30">
        <f>57+1</f>
        <v>58</v>
      </c>
      <c r="T318" s="30">
        <f>55+1</f>
        <v>56</v>
      </c>
      <c r="U318" s="30">
        <f>55+1</f>
        <v>56</v>
      </c>
      <c r="V318" s="30">
        <f>51+2</f>
        <v>53</v>
      </c>
      <c r="W318" s="30">
        <f>41+2</f>
        <v>43</v>
      </c>
      <c r="X318" s="30">
        <f>40+2</f>
        <v>42</v>
      </c>
      <c r="Y318" s="30">
        <f>39+2</f>
        <v>41</v>
      </c>
      <c r="Z318" s="30">
        <f>39+2</f>
        <v>41</v>
      </c>
      <c r="AA318" s="30">
        <f>37+1</f>
        <v>38</v>
      </c>
      <c r="AB318" s="30">
        <f>33+4</f>
        <v>37</v>
      </c>
      <c r="AC318" s="30">
        <f>32+1</f>
        <v>33</v>
      </c>
      <c r="AD318" s="30">
        <f>26+5</f>
        <v>31</v>
      </c>
      <c r="AE318" s="30">
        <f>23+3</f>
        <v>26</v>
      </c>
      <c r="AF318" s="30">
        <f>19+2</f>
        <v>21</v>
      </c>
      <c r="AG318" s="30">
        <f>20+10+1</f>
        <v>31</v>
      </c>
      <c r="AH318" s="30">
        <f>16+10+1</f>
        <v>27</v>
      </c>
      <c r="AI318" s="30">
        <f>17+9</f>
        <v>26</v>
      </c>
      <c r="AJ318" s="30">
        <f>18+7</f>
        <v>25</v>
      </c>
    </row>
    <row r="319" spans="1:36" ht="80.099999999999994" customHeight="1">
      <c r="A319" s="125" t="s">
        <v>8</v>
      </c>
      <c r="B319" s="79" t="s">
        <v>1054</v>
      </c>
      <c r="C319" s="78" t="s">
        <v>659</v>
      </c>
      <c r="D319" s="58" t="s">
        <v>658</v>
      </c>
      <c r="E319" s="76">
        <v>5</v>
      </c>
      <c r="F319" s="99" t="s">
        <v>660</v>
      </c>
      <c r="G319" s="25"/>
      <c r="H319" s="25"/>
      <c r="J319" s="30">
        <v>23</v>
      </c>
      <c r="K319" s="30">
        <f>22+1</f>
        <v>23</v>
      </c>
      <c r="L319" s="30">
        <f>20+1</f>
        <v>21</v>
      </c>
      <c r="M319" s="30">
        <v>20</v>
      </c>
      <c r="N319" s="30">
        <f>19+0</f>
        <v>19</v>
      </c>
      <c r="O319" s="30">
        <f>19+1</f>
        <v>20</v>
      </c>
      <c r="P319" s="30">
        <v>19</v>
      </c>
      <c r="Q319" s="30">
        <f>18+1</f>
        <v>19</v>
      </c>
      <c r="R319" s="30">
        <f>17+1</f>
        <v>18</v>
      </c>
      <c r="S319" s="30">
        <v>17</v>
      </c>
      <c r="T319" s="30">
        <v>15</v>
      </c>
      <c r="U319" s="30">
        <f>12+1</f>
        <v>13</v>
      </c>
      <c r="V319" s="30">
        <f>12+10</f>
        <v>22</v>
      </c>
      <c r="W319" s="30">
        <f>12+3</f>
        <v>15</v>
      </c>
      <c r="X319" s="30">
        <f>12+10+1</f>
        <v>23</v>
      </c>
      <c r="Y319" s="30">
        <v>22</v>
      </c>
      <c r="Z319" s="30">
        <f>21</f>
        <v>21</v>
      </c>
      <c r="AA319" s="30">
        <v>20</v>
      </c>
      <c r="AB319" s="30">
        <f>16+2</f>
        <v>18</v>
      </c>
      <c r="AC319" s="30">
        <v>18</v>
      </c>
      <c r="AD319" s="30">
        <f>16</f>
        <v>16</v>
      </c>
      <c r="AE319" s="30">
        <v>15</v>
      </c>
      <c r="AF319" s="30">
        <v>14</v>
      </c>
      <c r="AG319" s="30">
        <f>11+10</f>
        <v>21</v>
      </c>
      <c r="AH319" s="30">
        <f>10+10</f>
        <v>20</v>
      </c>
      <c r="AI319" s="30">
        <f>10+10</f>
        <v>20</v>
      </c>
      <c r="AJ319" s="30">
        <f>12+8</f>
        <v>20</v>
      </c>
    </row>
    <row r="320" spans="1:36" ht="80.099999999999994" customHeight="1">
      <c r="A320" s="125" t="s">
        <v>8</v>
      </c>
      <c r="B320" s="79" t="s">
        <v>1054</v>
      </c>
      <c r="C320" s="78" t="s">
        <v>661</v>
      </c>
      <c r="D320" s="58" t="s">
        <v>316</v>
      </c>
      <c r="E320" s="76">
        <v>10</v>
      </c>
      <c r="F320" s="99" t="s">
        <v>662</v>
      </c>
      <c r="G320" s="25"/>
      <c r="H320" s="25"/>
      <c r="J320" s="30">
        <v>24</v>
      </c>
      <c r="K320" s="30">
        <v>24</v>
      </c>
      <c r="L320" s="30">
        <v>23</v>
      </c>
      <c r="M320" s="30">
        <f>22+0</f>
        <v>22</v>
      </c>
      <c r="N320" s="30">
        <f>21+1</f>
        <v>22</v>
      </c>
      <c r="O320" s="30">
        <v>20</v>
      </c>
      <c r="P320" s="30">
        <v>20</v>
      </c>
      <c r="Q320" s="30">
        <v>19</v>
      </c>
      <c r="R320" s="30">
        <f>16+1</f>
        <v>17</v>
      </c>
      <c r="S320" s="30">
        <v>15</v>
      </c>
      <c r="T320" s="30">
        <f>14+1</f>
        <v>15</v>
      </c>
      <c r="U320" s="30">
        <f>12+1</f>
        <v>13</v>
      </c>
      <c r="V320" s="30">
        <f>11+10</f>
        <v>21</v>
      </c>
      <c r="W320" s="30">
        <f>10+2</f>
        <v>12</v>
      </c>
      <c r="X320" s="30">
        <f>10+10+1</f>
        <v>21</v>
      </c>
      <c r="Y320" s="30">
        <v>21</v>
      </c>
      <c r="Z320" s="30">
        <v>21</v>
      </c>
      <c r="AA320" s="30">
        <v>20</v>
      </c>
      <c r="AB320" s="30">
        <v>20</v>
      </c>
      <c r="AC320" s="30">
        <v>19</v>
      </c>
      <c r="AD320" s="30">
        <v>19</v>
      </c>
      <c r="AE320" s="30">
        <f>16+1</f>
        <v>17</v>
      </c>
      <c r="AF320" s="30">
        <f>13+1</f>
        <v>14</v>
      </c>
      <c r="AG320" s="30">
        <f>11+10+0</f>
        <v>21</v>
      </c>
      <c r="AH320" s="30">
        <f>11+10</f>
        <v>21</v>
      </c>
      <c r="AI320" s="30">
        <f>11+9</f>
        <v>20</v>
      </c>
      <c r="AJ320" s="30">
        <f>13+7</f>
        <v>20</v>
      </c>
    </row>
    <row r="321" spans="1:36" ht="80.099999999999994" customHeight="1">
      <c r="A321" s="125" t="s">
        <v>8</v>
      </c>
      <c r="B321" s="79" t="s">
        <v>1054</v>
      </c>
      <c r="C321" s="78" t="s">
        <v>664</v>
      </c>
      <c r="D321" s="58" t="s">
        <v>663</v>
      </c>
      <c r="E321" s="76">
        <v>11</v>
      </c>
      <c r="F321" s="99" t="s">
        <v>665</v>
      </c>
      <c r="G321" s="25"/>
      <c r="H321" s="25"/>
      <c r="J321" s="30">
        <v>15</v>
      </c>
      <c r="K321" s="30">
        <v>15</v>
      </c>
      <c r="L321" s="30">
        <v>15</v>
      </c>
      <c r="M321" s="30">
        <v>15</v>
      </c>
      <c r="N321" s="30">
        <v>15</v>
      </c>
      <c r="O321" s="30">
        <v>15</v>
      </c>
      <c r="P321" s="30">
        <v>15</v>
      </c>
      <c r="Q321" s="30">
        <v>15</v>
      </c>
      <c r="R321" s="30">
        <v>13</v>
      </c>
      <c r="S321" s="30">
        <v>13</v>
      </c>
      <c r="T321" s="30">
        <v>11</v>
      </c>
      <c r="U321" s="30">
        <f>9+1</f>
        <v>10</v>
      </c>
      <c r="V321" s="30">
        <f>8+10+1</f>
        <v>19</v>
      </c>
      <c r="W321" s="30">
        <f>15+1</f>
        <v>16</v>
      </c>
      <c r="X321" s="30">
        <f>17+10</f>
        <v>27</v>
      </c>
      <c r="Y321" s="30">
        <v>27</v>
      </c>
      <c r="Z321" s="30">
        <v>27</v>
      </c>
      <c r="AA321" s="30">
        <v>28</v>
      </c>
      <c r="AB321" s="30">
        <f>27+1</f>
        <v>28</v>
      </c>
      <c r="AC321" s="30">
        <v>26</v>
      </c>
      <c r="AD321" s="30">
        <v>26</v>
      </c>
      <c r="AE321" s="30">
        <f>24+1</f>
        <v>25</v>
      </c>
      <c r="AF321" s="30">
        <v>24</v>
      </c>
      <c r="AG321" s="30">
        <f>22+1</f>
        <v>23</v>
      </c>
      <c r="AH321" s="30">
        <f>21+2</f>
        <v>23</v>
      </c>
      <c r="AI321" s="30">
        <f>21+1</f>
        <v>22</v>
      </c>
      <c r="AJ321" s="30">
        <v>22</v>
      </c>
    </row>
    <row r="322" spans="1:36" ht="80.099999999999994" customHeight="1">
      <c r="A322" s="127" t="s">
        <v>8</v>
      </c>
      <c r="B322" s="86" t="s">
        <v>1068</v>
      </c>
      <c r="C322" s="75" t="s">
        <v>666</v>
      </c>
      <c r="D322" s="60" t="s">
        <v>461</v>
      </c>
      <c r="E322" s="76">
        <v>7</v>
      </c>
      <c r="F322" s="114" t="s">
        <v>667</v>
      </c>
      <c r="G322" s="25"/>
      <c r="H322" s="44"/>
      <c r="J322" s="30">
        <v>12</v>
      </c>
      <c r="K322" s="30">
        <v>12</v>
      </c>
      <c r="L322" s="30">
        <v>11</v>
      </c>
      <c r="M322" s="30">
        <f>10+0</f>
        <v>10</v>
      </c>
      <c r="N322" s="30">
        <v>10</v>
      </c>
      <c r="O322" s="30">
        <f>9</f>
        <v>9</v>
      </c>
      <c r="P322" s="30">
        <f>9+1</f>
        <v>10</v>
      </c>
      <c r="Q322" s="30">
        <f>8</f>
        <v>8</v>
      </c>
      <c r="R322" s="30">
        <v>8</v>
      </c>
      <c r="S322" s="30">
        <v>8</v>
      </c>
      <c r="T322" s="30">
        <v>8</v>
      </c>
      <c r="U322" s="30">
        <v>8</v>
      </c>
      <c r="V322" s="30">
        <v>8</v>
      </c>
      <c r="W322" s="30">
        <v>7</v>
      </c>
      <c r="X322" s="30">
        <v>7</v>
      </c>
      <c r="Y322" s="30">
        <v>7</v>
      </c>
      <c r="Z322" s="30">
        <v>7</v>
      </c>
      <c r="AA322" s="30">
        <v>6</v>
      </c>
      <c r="AB322" s="30">
        <v>6</v>
      </c>
      <c r="AC322" s="30">
        <v>5</v>
      </c>
      <c r="AD322" s="30">
        <v>3</v>
      </c>
      <c r="AE322" s="30">
        <f>3+5</f>
        <v>8</v>
      </c>
      <c r="AF322" s="30">
        <f>3+5</f>
        <v>8</v>
      </c>
      <c r="AG322" s="30">
        <f>3+4</f>
        <v>7</v>
      </c>
      <c r="AH322" s="30">
        <f>5+1</f>
        <v>6</v>
      </c>
      <c r="AI322" s="30">
        <v>6</v>
      </c>
      <c r="AJ322" s="30">
        <v>5</v>
      </c>
    </row>
    <row r="323" spans="1:36" ht="80.099999999999994" customHeight="1">
      <c r="A323" s="125" t="s">
        <v>8</v>
      </c>
      <c r="B323" s="79" t="s">
        <v>1062</v>
      </c>
      <c r="C323" s="78" t="s">
        <v>669</v>
      </c>
      <c r="D323" s="58" t="s">
        <v>668</v>
      </c>
      <c r="E323" s="76">
        <v>6</v>
      </c>
      <c r="F323" s="99" t="s">
        <v>670</v>
      </c>
      <c r="G323" s="25"/>
      <c r="H323" s="25"/>
      <c r="J323" s="30">
        <v>37</v>
      </c>
      <c r="K323" s="30">
        <v>37</v>
      </c>
      <c r="L323" s="30">
        <v>37</v>
      </c>
      <c r="M323" s="30">
        <v>37</v>
      </c>
      <c r="N323" s="30">
        <v>37</v>
      </c>
      <c r="O323" s="30">
        <v>37</v>
      </c>
      <c r="P323" s="30">
        <v>37</v>
      </c>
      <c r="Q323" s="30">
        <v>37</v>
      </c>
      <c r="R323" s="30">
        <v>37</v>
      </c>
      <c r="S323" s="30">
        <v>37</v>
      </c>
      <c r="T323" s="30">
        <v>37</v>
      </c>
      <c r="U323" s="30">
        <v>37</v>
      </c>
      <c r="V323" s="30">
        <v>37</v>
      </c>
      <c r="W323" s="30">
        <f>37</f>
        <v>37</v>
      </c>
      <c r="X323" s="30">
        <v>36</v>
      </c>
      <c r="Y323" s="30">
        <v>36</v>
      </c>
      <c r="Z323" s="30">
        <v>36</v>
      </c>
      <c r="AA323" s="30">
        <v>36</v>
      </c>
      <c r="AB323" s="30">
        <v>36</v>
      </c>
      <c r="AC323" s="30">
        <v>36</v>
      </c>
      <c r="AD323" s="30">
        <v>35</v>
      </c>
      <c r="AE323" s="30">
        <v>35</v>
      </c>
      <c r="AF323" s="30">
        <v>35</v>
      </c>
      <c r="AG323" s="30">
        <v>35</v>
      </c>
      <c r="AH323" s="30">
        <v>35</v>
      </c>
      <c r="AI323" s="30">
        <v>35</v>
      </c>
      <c r="AJ323" s="30">
        <v>35</v>
      </c>
    </row>
    <row r="324" spans="1:36" ht="80.099999999999994" customHeight="1">
      <c r="A324" s="125" t="s">
        <v>8</v>
      </c>
      <c r="B324" s="79" t="s">
        <v>1062</v>
      </c>
      <c r="C324" s="78" t="s">
        <v>672</v>
      </c>
      <c r="D324" s="58" t="s">
        <v>671</v>
      </c>
      <c r="E324" s="76">
        <v>7</v>
      </c>
      <c r="F324" s="99" t="s">
        <v>673</v>
      </c>
      <c r="G324" s="25"/>
      <c r="H324" s="25"/>
      <c r="J324" s="30">
        <v>37</v>
      </c>
      <c r="K324" s="30">
        <v>37</v>
      </c>
      <c r="L324" s="30">
        <v>37</v>
      </c>
      <c r="M324" s="30">
        <v>37</v>
      </c>
      <c r="N324" s="30">
        <v>37</v>
      </c>
      <c r="O324" s="30">
        <v>37</v>
      </c>
      <c r="P324" s="30">
        <v>37</v>
      </c>
      <c r="Q324" s="30">
        <v>37</v>
      </c>
      <c r="R324" s="30">
        <v>36</v>
      </c>
      <c r="S324" s="30">
        <v>35</v>
      </c>
      <c r="T324" s="30">
        <v>34</v>
      </c>
      <c r="U324" s="30">
        <v>34</v>
      </c>
      <c r="V324" s="30">
        <f>33+1</f>
        <v>34</v>
      </c>
      <c r="W324" s="30">
        <v>33</v>
      </c>
      <c r="X324" s="30">
        <v>32</v>
      </c>
      <c r="Y324" s="30">
        <v>32</v>
      </c>
      <c r="Z324" s="30">
        <v>32</v>
      </c>
      <c r="AA324" s="30">
        <v>32</v>
      </c>
      <c r="AB324" s="30">
        <v>32</v>
      </c>
      <c r="AC324" s="30">
        <v>32</v>
      </c>
      <c r="AD324" s="30">
        <v>32</v>
      </c>
      <c r="AE324" s="30">
        <v>32</v>
      </c>
      <c r="AF324" s="30">
        <v>31</v>
      </c>
      <c r="AG324" s="30">
        <v>31</v>
      </c>
      <c r="AH324" s="30">
        <v>31</v>
      </c>
      <c r="AI324" s="30">
        <v>31</v>
      </c>
      <c r="AJ324" s="30">
        <v>31</v>
      </c>
    </row>
    <row r="325" spans="1:36" ht="80.099999999999994" customHeight="1">
      <c r="A325" s="125" t="s">
        <v>8</v>
      </c>
      <c r="B325" s="79" t="s">
        <v>1062</v>
      </c>
      <c r="C325" s="78" t="s">
        <v>675</v>
      </c>
      <c r="D325" s="58" t="s">
        <v>674</v>
      </c>
      <c r="E325" s="76">
        <v>8</v>
      </c>
      <c r="F325" s="99" t="s">
        <v>676</v>
      </c>
      <c r="G325" s="25"/>
      <c r="H325" s="25"/>
      <c r="J325" s="30">
        <v>34</v>
      </c>
      <c r="K325" s="30">
        <v>34</v>
      </c>
      <c r="L325" s="30">
        <v>34</v>
      </c>
      <c r="M325" s="30">
        <v>34</v>
      </c>
      <c r="N325" s="30">
        <v>34</v>
      </c>
      <c r="O325" s="30">
        <v>34</v>
      </c>
      <c r="P325" s="30">
        <v>34</v>
      </c>
      <c r="Q325" s="30">
        <v>34</v>
      </c>
      <c r="R325" s="30">
        <v>34</v>
      </c>
      <c r="S325" s="30">
        <v>34</v>
      </c>
      <c r="T325" s="30">
        <v>34</v>
      </c>
      <c r="U325" s="30">
        <v>34</v>
      </c>
      <c r="V325" s="30">
        <v>34</v>
      </c>
      <c r="W325" s="30">
        <v>33</v>
      </c>
      <c r="X325" s="30">
        <v>32</v>
      </c>
      <c r="Y325" s="30">
        <v>32</v>
      </c>
      <c r="Z325" s="30">
        <v>32</v>
      </c>
      <c r="AA325" s="53"/>
      <c r="AB325" s="30">
        <v>31</v>
      </c>
      <c r="AC325" s="30">
        <v>31</v>
      </c>
      <c r="AD325" s="30">
        <v>31</v>
      </c>
      <c r="AE325" s="30">
        <v>31</v>
      </c>
      <c r="AF325" s="30">
        <v>31</v>
      </c>
      <c r="AG325" s="30">
        <v>31</v>
      </c>
      <c r="AH325" s="30">
        <v>31</v>
      </c>
      <c r="AI325" s="30">
        <v>31</v>
      </c>
      <c r="AJ325" s="30">
        <v>31</v>
      </c>
    </row>
    <row r="326" spans="1:36" ht="80.099999999999994" customHeight="1">
      <c r="A326" s="125" t="s">
        <v>8</v>
      </c>
      <c r="B326" s="79" t="s">
        <v>1062</v>
      </c>
      <c r="C326" s="78" t="s">
        <v>678</v>
      </c>
      <c r="D326" s="58" t="s">
        <v>677</v>
      </c>
      <c r="E326" s="76">
        <v>9</v>
      </c>
      <c r="F326" s="99" t="s">
        <v>679</v>
      </c>
      <c r="G326" s="25"/>
      <c r="H326" s="25"/>
      <c r="J326" s="30">
        <v>33</v>
      </c>
      <c r="K326" s="30">
        <v>33</v>
      </c>
      <c r="L326" s="30">
        <v>33</v>
      </c>
      <c r="M326" s="30">
        <v>33</v>
      </c>
      <c r="N326" s="30">
        <v>33</v>
      </c>
      <c r="O326" s="30">
        <v>33</v>
      </c>
      <c r="P326" s="30">
        <v>33</v>
      </c>
      <c r="Q326" s="30">
        <v>33</v>
      </c>
      <c r="R326" s="30">
        <f>32+1</f>
        <v>33</v>
      </c>
      <c r="S326" s="30">
        <v>32</v>
      </c>
      <c r="T326" s="30">
        <v>32</v>
      </c>
      <c r="U326" s="30">
        <v>32</v>
      </c>
      <c r="V326" s="30">
        <v>32</v>
      </c>
      <c r="W326" s="30">
        <v>32</v>
      </c>
      <c r="X326" s="30">
        <v>32</v>
      </c>
      <c r="Y326" s="30">
        <v>32</v>
      </c>
      <c r="Z326" s="30">
        <v>32</v>
      </c>
      <c r="AA326" s="30">
        <v>32</v>
      </c>
      <c r="AB326" s="30">
        <v>32</v>
      </c>
      <c r="AC326" s="30">
        <v>32</v>
      </c>
      <c r="AD326" s="30">
        <v>32</v>
      </c>
      <c r="AE326" s="30">
        <v>32</v>
      </c>
      <c r="AF326" s="30">
        <v>32</v>
      </c>
      <c r="AG326" s="30">
        <v>32</v>
      </c>
      <c r="AH326" s="30">
        <v>32</v>
      </c>
      <c r="AI326" s="30">
        <v>32</v>
      </c>
      <c r="AJ326" s="30">
        <v>32</v>
      </c>
    </row>
    <row r="327" spans="1:36" ht="80.099999999999994" customHeight="1">
      <c r="A327" s="125" t="s">
        <v>8</v>
      </c>
      <c r="B327" s="79" t="s">
        <v>1071</v>
      </c>
      <c r="C327" s="78" t="s">
        <v>681</v>
      </c>
      <c r="D327" s="58" t="s">
        <v>680</v>
      </c>
      <c r="E327" s="76">
        <v>6</v>
      </c>
      <c r="F327" s="99" t="s">
        <v>682</v>
      </c>
      <c r="G327" s="25"/>
      <c r="H327" s="25"/>
      <c r="J327" s="30">
        <v>17</v>
      </c>
      <c r="K327" s="30">
        <v>17</v>
      </c>
      <c r="L327" s="30">
        <v>17</v>
      </c>
      <c r="M327" s="30">
        <v>17</v>
      </c>
      <c r="N327" s="30">
        <v>17</v>
      </c>
      <c r="O327" s="30">
        <v>17</v>
      </c>
      <c r="P327" s="30">
        <v>17</v>
      </c>
      <c r="Q327" s="30">
        <f>16</f>
        <v>16</v>
      </c>
      <c r="R327" s="30">
        <v>16</v>
      </c>
      <c r="S327" s="30">
        <v>16</v>
      </c>
      <c r="T327" s="30">
        <v>16</v>
      </c>
      <c r="U327" s="30">
        <v>16</v>
      </c>
      <c r="V327" s="30">
        <v>16</v>
      </c>
      <c r="W327" s="30">
        <v>16</v>
      </c>
      <c r="X327" s="30">
        <v>15</v>
      </c>
      <c r="Y327" s="30">
        <v>15</v>
      </c>
      <c r="Z327" s="30">
        <v>15</v>
      </c>
      <c r="AA327" s="30">
        <v>15</v>
      </c>
      <c r="AB327" s="30">
        <v>14</v>
      </c>
      <c r="AC327" s="30">
        <v>13</v>
      </c>
      <c r="AD327" s="30">
        <v>13</v>
      </c>
      <c r="AE327" s="30">
        <v>13</v>
      </c>
      <c r="AF327" s="30">
        <v>12</v>
      </c>
      <c r="AG327" s="30">
        <v>12</v>
      </c>
      <c r="AH327" s="30">
        <v>12</v>
      </c>
      <c r="AI327" s="30">
        <v>12</v>
      </c>
      <c r="AJ327" s="30">
        <v>12</v>
      </c>
    </row>
    <row r="328" spans="1:36" ht="80.099999999999994" customHeight="1">
      <c r="A328" s="125" t="s">
        <v>8</v>
      </c>
      <c r="B328" s="79" t="s">
        <v>1071</v>
      </c>
      <c r="C328" s="78" t="s">
        <v>684</v>
      </c>
      <c r="D328" s="58" t="s">
        <v>683</v>
      </c>
      <c r="E328" s="76">
        <v>7</v>
      </c>
      <c r="F328" s="99" t="s">
        <v>685</v>
      </c>
      <c r="G328" s="25"/>
      <c r="H328" s="25"/>
      <c r="J328" s="30">
        <v>20</v>
      </c>
      <c r="K328" s="30">
        <v>20</v>
      </c>
      <c r="L328" s="30">
        <v>20</v>
      </c>
      <c r="M328" s="30">
        <v>20</v>
      </c>
      <c r="N328" s="30">
        <v>20</v>
      </c>
      <c r="O328" s="30">
        <v>20</v>
      </c>
      <c r="P328" s="30">
        <v>20</v>
      </c>
      <c r="Q328" s="30">
        <v>20</v>
      </c>
      <c r="R328" s="30">
        <v>20</v>
      </c>
      <c r="S328" s="30">
        <v>20</v>
      </c>
      <c r="T328" s="30">
        <v>20</v>
      </c>
      <c r="U328" s="30">
        <v>20</v>
      </c>
      <c r="V328" s="30">
        <f>18+1</f>
        <v>19</v>
      </c>
      <c r="W328" s="30">
        <v>18</v>
      </c>
      <c r="X328" s="30">
        <f>18+1</f>
        <v>19</v>
      </c>
      <c r="Y328" s="30">
        <v>19</v>
      </c>
      <c r="Z328" s="30">
        <v>19</v>
      </c>
      <c r="AA328" s="30">
        <v>19</v>
      </c>
      <c r="AB328" s="30">
        <v>19</v>
      </c>
      <c r="AC328" s="30">
        <v>18</v>
      </c>
      <c r="AD328" s="30">
        <f>17+1</f>
        <v>18</v>
      </c>
      <c r="AE328" s="30">
        <v>17</v>
      </c>
      <c r="AF328" s="30">
        <v>17</v>
      </c>
      <c r="AG328" s="30">
        <v>18</v>
      </c>
      <c r="AH328" s="30">
        <v>18</v>
      </c>
      <c r="AI328" s="30">
        <v>18</v>
      </c>
      <c r="AJ328" s="30">
        <v>18</v>
      </c>
    </row>
    <row r="329" spans="1:36" ht="80.099999999999994" customHeight="1">
      <c r="A329" s="125" t="s">
        <v>8</v>
      </c>
      <c r="B329" s="79" t="s">
        <v>1071</v>
      </c>
      <c r="C329" s="78" t="s">
        <v>687</v>
      </c>
      <c r="D329" s="58" t="s">
        <v>686</v>
      </c>
      <c r="E329" s="76">
        <v>8</v>
      </c>
      <c r="F329" s="99" t="s">
        <v>688</v>
      </c>
      <c r="G329" s="25"/>
      <c r="H329" s="25"/>
      <c r="J329" s="30">
        <v>15</v>
      </c>
      <c r="K329" s="30">
        <v>15</v>
      </c>
      <c r="L329" s="30">
        <f>13+1</f>
        <v>14</v>
      </c>
      <c r="M329" s="30">
        <v>14</v>
      </c>
      <c r="N329" s="30">
        <v>14</v>
      </c>
      <c r="O329" s="30">
        <v>14</v>
      </c>
      <c r="P329" s="30">
        <v>14</v>
      </c>
      <c r="Q329" s="30">
        <v>14</v>
      </c>
      <c r="R329" s="30">
        <v>14</v>
      </c>
      <c r="S329" s="30">
        <v>14</v>
      </c>
      <c r="T329" s="30">
        <v>15</v>
      </c>
      <c r="U329" s="30">
        <v>15</v>
      </c>
      <c r="V329" s="30">
        <v>15</v>
      </c>
      <c r="W329" s="30">
        <v>13</v>
      </c>
      <c r="X329" s="30">
        <v>13</v>
      </c>
      <c r="Y329" s="30">
        <v>13</v>
      </c>
      <c r="Z329" s="30">
        <v>12</v>
      </c>
      <c r="AA329" s="30">
        <v>12</v>
      </c>
      <c r="AB329" s="30">
        <v>12</v>
      </c>
      <c r="AC329" s="30">
        <v>11</v>
      </c>
      <c r="AD329" s="30">
        <v>11</v>
      </c>
      <c r="AE329" s="30">
        <f>10+1</f>
        <v>11</v>
      </c>
      <c r="AF329" s="30">
        <v>10</v>
      </c>
      <c r="AG329" s="30">
        <v>10</v>
      </c>
      <c r="AH329" s="30">
        <v>10</v>
      </c>
      <c r="AI329" s="30">
        <v>10</v>
      </c>
      <c r="AJ329" s="30">
        <v>10</v>
      </c>
    </row>
    <row r="330" spans="1:36" ht="80.099999999999994" customHeight="1">
      <c r="A330" s="125" t="s">
        <v>8</v>
      </c>
      <c r="B330" s="79" t="s">
        <v>1071</v>
      </c>
      <c r="C330" s="78" t="s">
        <v>690</v>
      </c>
      <c r="D330" s="58" t="s">
        <v>689</v>
      </c>
      <c r="E330" s="76">
        <v>9</v>
      </c>
      <c r="F330" s="99" t="s">
        <v>691</v>
      </c>
      <c r="G330" s="25"/>
      <c r="H330" s="25"/>
      <c r="J330" s="30">
        <v>35</v>
      </c>
      <c r="K330" s="30">
        <v>35</v>
      </c>
      <c r="L330" s="30">
        <v>35</v>
      </c>
      <c r="M330" s="30">
        <v>35</v>
      </c>
      <c r="N330" s="30">
        <v>35</v>
      </c>
      <c r="O330" s="30">
        <v>35</v>
      </c>
      <c r="P330" s="30">
        <v>5</v>
      </c>
      <c r="Q330" s="30">
        <v>35</v>
      </c>
      <c r="R330" s="30">
        <v>35</v>
      </c>
      <c r="S330" s="30">
        <v>35</v>
      </c>
      <c r="T330" s="30">
        <v>35</v>
      </c>
      <c r="U330" s="30">
        <v>35</v>
      </c>
      <c r="V330" s="30">
        <v>35</v>
      </c>
      <c r="W330" s="30">
        <v>35</v>
      </c>
      <c r="X330" s="30">
        <v>35</v>
      </c>
      <c r="Y330" s="30">
        <v>35</v>
      </c>
      <c r="Z330" s="30">
        <v>35</v>
      </c>
      <c r="AA330" s="30">
        <v>35</v>
      </c>
      <c r="AB330" s="30">
        <v>35</v>
      </c>
      <c r="AC330" s="30">
        <v>35</v>
      </c>
      <c r="AD330" s="30">
        <v>35</v>
      </c>
      <c r="AE330" s="30">
        <f>33+1</f>
        <v>34</v>
      </c>
      <c r="AF330" s="30">
        <v>33</v>
      </c>
      <c r="AG330" s="30">
        <v>33</v>
      </c>
      <c r="AH330" s="30">
        <v>33</v>
      </c>
      <c r="AI330" s="30">
        <v>33</v>
      </c>
      <c r="AJ330" s="30">
        <f>32+1</f>
        <v>33</v>
      </c>
    </row>
    <row r="331" spans="1:36" ht="80.099999999999994" customHeight="1">
      <c r="A331" s="125" t="s">
        <v>8</v>
      </c>
      <c r="B331" s="79" t="s">
        <v>1062</v>
      </c>
      <c r="C331" s="78" t="s">
        <v>693</v>
      </c>
      <c r="D331" s="58" t="s">
        <v>692</v>
      </c>
      <c r="E331" s="76">
        <v>6</v>
      </c>
      <c r="F331" s="99" t="s">
        <v>694</v>
      </c>
      <c r="G331" s="25"/>
      <c r="H331" s="25"/>
      <c r="J331" s="30">
        <v>18</v>
      </c>
      <c r="K331" s="30">
        <v>18</v>
      </c>
      <c r="L331" s="30">
        <v>18</v>
      </c>
      <c r="M331" s="30">
        <v>16</v>
      </c>
      <c r="N331" s="30">
        <v>16</v>
      </c>
      <c r="O331" s="30">
        <v>16</v>
      </c>
      <c r="P331" s="30">
        <v>16</v>
      </c>
      <c r="Q331" s="30">
        <v>16</v>
      </c>
      <c r="R331" s="30">
        <f>15+1</f>
        <v>16</v>
      </c>
      <c r="S331" s="30">
        <v>15</v>
      </c>
      <c r="T331" s="30">
        <v>15</v>
      </c>
      <c r="U331" s="30">
        <v>15</v>
      </c>
      <c r="V331" s="30">
        <v>15</v>
      </c>
      <c r="W331" s="30">
        <v>14</v>
      </c>
      <c r="X331" s="30">
        <v>14</v>
      </c>
      <c r="Y331" s="30">
        <v>14</v>
      </c>
      <c r="Z331" s="30">
        <v>13</v>
      </c>
      <c r="AA331" s="30">
        <v>13</v>
      </c>
      <c r="AB331" s="30">
        <v>13</v>
      </c>
      <c r="AC331" s="30">
        <v>13</v>
      </c>
      <c r="AD331" s="30">
        <v>12</v>
      </c>
      <c r="AE331" s="30">
        <v>12</v>
      </c>
      <c r="AF331" s="30">
        <v>12</v>
      </c>
      <c r="AG331" s="30">
        <v>12</v>
      </c>
      <c r="AH331" s="30">
        <f>11</f>
        <v>11</v>
      </c>
      <c r="AI331" s="30">
        <v>11</v>
      </c>
      <c r="AJ331" s="30">
        <v>11</v>
      </c>
    </row>
    <row r="332" spans="1:36" ht="80.099999999999994" customHeight="1">
      <c r="A332" s="125" t="s">
        <v>8</v>
      </c>
      <c r="B332" s="79" t="s">
        <v>1062</v>
      </c>
      <c r="C332" s="78" t="s">
        <v>696</v>
      </c>
      <c r="D332" s="58" t="s">
        <v>695</v>
      </c>
      <c r="E332" s="76">
        <v>7</v>
      </c>
      <c r="F332" s="99" t="s">
        <v>697</v>
      </c>
      <c r="G332" s="25"/>
      <c r="H332" s="25"/>
      <c r="J332" s="30">
        <v>0</v>
      </c>
      <c r="K332" s="30">
        <v>0</v>
      </c>
      <c r="L332" s="30">
        <v>0</v>
      </c>
      <c r="M332" s="30">
        <v>0</v>
      </c>
      <c r="N332" s="30">
        <f>0+5</f>
        <v>5</v>
      </c>
      <c r="O332" s="30">
        <f>0+5</f>
        <v>5</v>
      </c>
      <c r="P332" s="30">
        <f>0+5</f>
        <v>5</v>
      </c>
      <c r="Q332" s="30">
        <f>0+5</f>
        <v>5</v>
      </c>
      <c r="R332" s="30">
        <f>0+5</f>
        <v>5</v>
      </c>
      <c r="S332" s="30">
        <f>0+5</f>
        <v>5</v>
      </c>
      <c r="T332" s="30">
        <v>5</v>
      </c>
      <c r="U332" s="30">
        <v>5</v>
      </c>
      <c r="V332" s="30">
        <v>5</v>
      </c>
      <c r="W332" s="30">
        <v>5</v>
      </c>
      <c r="X332" s="30">
        <v>5</v>
      </c>
      <c r="Y332" s="30">
        <v>5</v>
      </c>
      <c r="Z332" s="30">
        <v>5</v>
      </c>
      <c r="AA332" s="30">
        <v>4</v>
      </c>
      <c r="AB332" s="30">
        <v>4</v>
      </c>
      <c r="AC332" s="30">
        <v>4</v>
      </c>
      <c r="AD332" s="30">
        <v>4</v>
      </c>
      <c r="AE332" s="30">
        <v>3</v>
      </c>
      <c r="AF332" s="30">
        <v>3</v>
      </c>
      <c r="AG332" s="30">
        <f>0+1</f>
        <v>1</v>
      </c>
      <c r="AH332" s="30">
        <v>1</v>
      </c>
      <c r="AI332" s="30">
        <v>1</v>
      </c>
      <c r="AJ332" s="30">
        <v>1</v>
      </c>
    </row>
    <row r="333" spans="1:36" ht="80.099999999999994" customHeight="1">
      <c r="A333" s="125" t="s">
        <v>8</v>
      </c>
      <c r="B333" s="79" t="s">
        <v>1062</v>
      </c>
      <c r="C333" s="78" t="s">
        <v>699</v>
      </c>
      <c r="D333" s="58" t="s">
        <v>698</v>
      </c>
      <c r="E333" s="76">
        <v>8</v>
      </c>
      <c r="F333" s="99" t="s">
        <v>700</v>
      </c>
      <c r="G333" s="25"/>
      <c r="H333" s="25"/>
      <c r="J333" s="30">
        <v>12</v>
      </c>
      <c r="K333" s="30">
        <v>12</v>
      </c>
      <c r="L333" s="30">
        <v>12</v>
      </c>
      <c r="M333" s="30">
        <v>12</v>
      </c>
      <c r="N333" s="30">
        <v>13</v>
      </c>
      <c r="O333" s="30">
        <v>13</v>
      </c>
      <c r="P333" s="30">
        <v>13</v>
      </c>
      <c r="Q333" s="30">
        <f>12</f>
        <v>12</v>
      </c>
      <c r="R333" s="30">
        <f>11</f>
        <v>11</v>
      </c>
      <c r="S333" s="30">
        <v>10</v>
      </c>
      <c r="T333" s="30">
        <f>9+1</f>
        <v>10</v>
      </c>
      <c r="U333" s="30">
        <v>9</v>
      </c>
      <c r="V333" s="30">
        <v>9</v>
      </c>
      <c r="W333" s="30">
        <v>9</v>
      </c>
      <c r="X333" s="30">
        <f>9+1</f>
        <v>10</v>
      </c>
      <c r="Y333" s="30">
        <v>10</v>
      </c>
      <c r="Z333" s="30">
        <v>10</v>
      </c>
      <c r="AA333" s="30">
        <v>10</v>
      </c>
      <c r="AB333" s="30">
        <v>10</v>
      </c>
      <c r="AC333" s="30">
        <v>10</v>
      </c>
      <c r="AD333" s="30">
        <v>10</v>
      </c>
      <c r="AE333" s="30">
        <v>10</v>
      </c>
      <c r="AF333" s="30">
        <v>10</v>
      </c>
      <c r="AG333" s="30">
        <v>9</v>
      </c>
      <c r="AH333" s="30">
        <v>9</v>
      </c>
      <c r="AI333" s="30">
        <v>9</v>
      </c>
      <c r="AJ333" s="30">
        <v>8</v>
      </c>
    </row>
    <row r="334" spans="1:36" ht="80.099999999999994" customHeight="1">
      <c r="A334" s="125" t="s">
        <v>8</v>
      </c>
      <c r="B334" s="79" t="s">
        <v>1062</v>
      </c>
      <c r="C334" s="78" t="s">
        <v>702</v>
      </c>
      <c r="D334" s="58" t="s">
        <v>701</v>
      </c>
      <c r="E334" s="76">
        <v>9</v>
      </c>
      <c r="F334" s="99" t="s">
        <v>703</v>
      </c>
      <c r="G334" s="25"/>
      <c r="H334" s="25"/>
      <c r="J334" s="30">
        <v>0</v>
      </c>
      <c r="K334" s="30">
        <v>0</v>
      </c>
      <c r="L334" s="30">
        <v>0</v>
      </c>
      <c r="M334" s="30">
        <v>0</v>
      </c>
      <c r="N334" s="30">
        <f>0+5</f>
        <v>5</v>
      </c>
      <c r="O334" s="30">
        <f>0+5</f>
        <v>5</v>
      </c>
      <c r="P334" s="30">
        <f>0+5</f>
        <v>5</v>
      </c>
      <c r="Q334" s="30">
        <f>0+5</f>
        <v>5</v>
      </c>
      <c r="R334" s="30">
        <f>1+4</f>
        <v>5</v>
      </c>
      <c r="S334" s="30">
        <f>1+4</f>
        <v>5</v>
      </c>
      <c r="T334" s="30">
        <v>5</v>
      </c>
      <c r="U334" s="30">
        <v>5</v>
      </c>
      <c r="V334" s="30">
        <v>5</v>
      </c>
      <c r="W334" s="30">
        <v>5</v>
      </c>
      <c r="X334" s="30">
        <f>5+1</f>
        <v>6</v>
      </c>
      <c r="Y334" s="30">
        <v>6</v>
      </c>
      <c r="Z334" s="30">
        <v>6</v>
      </c>
      <c r="AA334" s="30">
        <v>6</v>
      </c>
      <c r="AB334" s="30">
        <v>6</v>
      </c>
      <c r="AC334" s="30">
        <v>6</v>
      </c>
      <c r="AD334" s="30">
        <v>6</v>
      </c>
      <c r="AE334" s="30">
        <v>6</v>
      </c>
      <c r="AF334" s="30">
        <v>6</v>
      </c>
      <c r="AG334" s="30">
        <v>5</v>
      </c>
      <c r="AH334" s="30">
        <v>5</v>
      </c>
      <c r="AI334" s="30">
        <v>5</v>
      </c>
      <c r="AJ334" s="30">
        <v>5</v>
      </c>
    </row>
    <row r="335" spans="1:36" ht="80.099999999999994" customHeight="1">
      <c r="A335" s="125" t="s">
        <v>8</v>
      </c>
      <c r="B335" s="79" t="s">
        <v>1071</v>
      </c>
      <c r="C335" s="78" t="s">
        <v>705</v>
      </c>
      <c r="D335" s="58" t="s">
        <v>704</v>
      </c>
      <c r="E335" s="76">
        <v>6</v>
      </c>
      <c r="F335" s="99" t="s">
        <v>706</v>
      </c>
      <c r="G335" s="25"/>
      <c r="H335" s="25"/>
      <c r="J335" s="30">
        <v>10</v>
      </c>
      <c r="K335" s="30">
        <f>9+0</f>
        <v>9</v>
      </c>
      <c r="L335" s="30">
        <v>8</v>
      </c>
      <c r="M335" s="30">
        <v>7</v>
      </c>
      <c r="N335" s="30">
        <v>7</v>
      </c>
      <c r="O335" s="30">
        <v>5</v>
      </c>
      <c r="P335" s="30">
        <f>4+1</f>
        <v>5</v>
      </c>
      <c r="Q335" s="30">
        <v>5</v>
      </c>
      <c r="R335" s="30">
        <v>5</v>
      </c>
      <c r="S335" s="30">
        <f>5+5</f>
        <v>10</v>
      </c>
      <c r="T335" s="30">
        <f>5+5</f>
        <v>10</v>
      </c>
      <c r="U335" s="30">
        <v>10</v>
      </c>
      <c r="V335" s="30">
        <v>8</v>
      </c>
      <c r="W335" s="30">
        <v>5</v>
      </c>
      <c r="X335" s="30">
        <f>5+10</f>
        <v>15</v>
      </c>
      <c r="Y335" s="30">
        <v>14</v>
      </c>
      <c r="Z335" s="30">
        <f>13+10</f>
        <v>23</v>
      </c>
      <c r="AA335" s="30">
        <f>22+0</f>
        <v>22</v>
      </c>
      <c r="AB335" s="30">
        <v>22</v>
      </c>
      <c r="AC335" s="30">
        <v>22</v>
      </c>
      <c r="AD335" s="30">
        <f>20+1</f>
        <v>21</v>
      </c>
      <c r="AE335" s="30">
        <f>20+1</f>
        <v>21</v>
      </c>
      <c r="AF335" s="30">
        <f>19</f>
        <v>19</v>
      </c>
      <c r="AG335" s="30">
        <f>16+1</f>
        <v>17</v>
      </c>
      <c r="AH335" s="30">
        <v>14</v>
      </c>
      <c r="AI335" s="30">
        <f>12+0</f>
        <v>12</v>
      </c>
      <c r="AJ335" s="30">
        <v>11</v>
      </c>
    </row>
    <row r="336" spans="1:36" ht="80.099999999999994" customHeight="1">
      <c r="A336" s="125" t="s">
        <v>8</v>
      </c>
      <c r="B336" s="79" t="s">
        <v>1071</v>
      </c>
      <c r="C336" s="78" t="s">
        <v>1019</v>
      </c>
      <c r="D336" s="58" t="s">
        <v>707</v>
      </c>
      <c r="E336" s="76">
        <v>7</v>
      </c>
      <c r="F336" s="99" t="s">
        <v>708</v>
      </c>
      <c r="G336" s="25"/>
      <c r="H336" s="25"/>
      <c r="J336" s="30">
        <f>5+9+1</f>
        <v>15</v>
      </c>
      <c r="K336" s="30">
        <f>6+9</f>
        <v>15</v>
      </c>
      <c r="L336" s="30">
        <f>6+9</f>
        <v>15</v>
      </c>
      <c r="M336" s="30">
        <f>6+9</f>
        <v>15</v>
      </c>
      <c r="N336" s="30">
        <f>6+9</f>
        <v>15</v>
      </c>
      <c r="O336" s="30">
        <f>6+9</f>
        <v>15</v>
      </c>
      <c r="P336" s="30">
        <v>15</v>
      </c>
      <c r="Q336" s="30">
        <v>15</v>
      </c>
      <c r="R336" s="30">
        <v>14</v>
      </c>
      <c r="S336" s="30">
        <v>113</v>
      </c>
      <c r="T336" s="30">
        <v>13</v>
      </c>
      <c r="U336" s="30">
        <v>13</v>
      </c>
      <c r="V336" s="30">
        <f>10+2</f>
        <v>12</v>
      </c>
      <c r="W336" s="30">
        <v>8</v>
      </c>
      <c r="X336" s="30">
        <v>9</v>
      </c>
      <c r="Y336" s="30">
        <v>9</v>
      </c>
      <c r="Z336" s="30">
        <f>5+10+2</f>
        <v>17</v>
      </c>
      <c r="AA336" s="30">
        <v>14</v>
      </c>
      <c r="AB336" s="30">
        <v>13</v>
      </c>
      <c r="AC336" s="30">
        <f>10+1</f>
        <v>11</v>
      </c>
      <c r="AD336" s="30">
        <f>9+0+10</f>
        <v>19</v>
      </c>
      <c r="AE336" s="30">
        <f>8+11</f>
        <v>19</v>
      </c>
      <c r="AF336" s="30">
        <v>16</v>
      </c>
      <c r="AG336" s="30">
        <f>15+10+0</f>
        <v>25</v>
      </c>
      <c r="AH336" s="30">
        <f>13+10</f>
        <v>23</v>
      </c>
      <c r="AI336" s="30">
        <f>14+9</f>
        <v>23</v>
      </c>
      <c r="AJ336" s="30">
        <v>16</v>
      </c>
    </row>
    <row r="337" spans="1:36" ht="80.099999999999994" customHeight="1">
      <c r="A337" s="125" t="s">
        <v>8</v>
      </c>
      <c r="B337" s="79" t="s">
        <v>1071</v>
      </c>
      <c r="C337" s="78" t="s">
        <v>710</v>
      </c>
      <c r="D337" s="58" t="s">
        <v>709</v>
      </c>
      <c r="E337" s="76">
        <v>8</v>
      </c>
      <c r="F337" s="99" t="s">
        <v>711</v>
      </c>
      <c r="G337" s="25"/>
      <c r="H337" s="25"/>
      <c r="J337" s="30">
        <f>0+13</f>
        <v>13</v>
      </c>
      <c r="K337" s="30">
        <f>0+13</f>
        <v>13</v>
      </c>
      <c r="L337" s="30">
        <f>0+13</f>
        <v>13</v>
      </c>
      <c r="M337" s="30">
        <f>0+13</f>
        <v>13</v>
      </c>
      <c r="N337" s="30">
        <f>0+13</f>
        <v>13</v>
      </c>
      <c r="O337" s="30">
        <f>0+13</f>
        <v>13</v>
      </c>
      <c r="P337" s="30">
        <f>11+1</f>
        <v>12</v>
      </c>
      <c r="Q337" s="30">
        <v>10</v>
      </c>
      <c r="R337" s="30">
        <v>9</v>
      </c>
      <c r="S337" s="30">
        <f>7+5</f>
        <v>12</v>
      </c>
      <c r="T337" s="30">
        <f>5+5</f>
        <v>10</v>
      </c>
      <c r="U337" s="30">
        <f>9+1</f>
        <v>10</v>
      </c>
      <c r="V337" s="30">
        <v>8</v>
      </c>
      <c r="W337" s="30">
        <v>6</v>
      </c>
      <c r="X337" s="30">
        <v>6</v>
      </c>
      <c r="Y337" s="30">
        <v>5</v>
      </c>
      <c r="Z337" s="30">
        <f>4+10+1</f>
        <v>15</v>
      </c>
      <c r="AA337" s="30">
        <v>11</v>
      </c>
      <c r="AB337" s="30">
        <v>11</v>
      </c>
      <c r="AC337" s="30">
        <v>7</v>
      </c>
      <c r="AD337" s="30">
        <f>2+1</f>
        <v>3</v>
      </c>
      <c r="AE337" s="30">
        <f>2+10</f>
        <v>12</v>
      </c>
      <c r="AF337" s="30">
        <f>0+10</f>
        <v>10</v>
      </c>
      <c r="AG337" s="30">
        <f>0+10+8</f>
        <v>18</v>
      </c>
      <c r="AH337" s="30">
        <f>7+9+2</f>
        <v>18</v>
      </c>
      <c r="AI337" s="30">
        <f>9+8</f>
        <v>17</v>
      </c>
      <c r="AJ337" s="30">
        <f>11+6</f>
        <v>17</v>
      </c>
    </row>
    <row r="338" spans="1:36" ht="80.099999999999994" customHeight="1">
      <c r="A338" s="125" t="s">
        <v>8</v>
      </c>
      <c r="B338" s="79" t="s">
        <v>1071</v>
      </c>
      <c r="C338" s="78" t="s">
        <v>713</v>
      </c>
      <c r="D338" s="58" t="s">
        <v>712</v>
      </c>
      <c r="E338" s="76">
        <v>9</v>
      </c>
      <c r="F338" s="99" t="s">
        <v>714</v>
      </c>
      <c r="G338" s="25"/>
      <c r="H338" s="25"/>
      <c r="J338" s="30">
        <v>19</v>
      </c>
      <c r="K338" s="30">
        <v>19</v>
      </c>
      <c r="L338" s="30">
        <f>18+1</f>
        <v>19</v>
      </c>
      <c r="M338" s="30">
        <v>18</v>
      </c>
      <c r="N338" s="30">
        <v>17</v>
      </c>
      <c r="O338" s="30">
        <f>16+1</f>
        <v>17</v>
      </c>
      <c r="P338" s="30">
        <v>16</v>
      </c>
      <c r="Q338" s="30">
        <v>16</v>
      </c>
      <c r="R338" s="30">
        <v>16</v>
      </c>
      <c r="S338" s="30">
        <v>15</v>
      </c>
      <c r="T338" s="30">
        <f>13+1</f>
        <v>14</v>
      </c>
      <c r="U338" s="30">
        <v>12</v>
      </c>
      <c r="V338" s="30">
        <v>12</v>
      </c>
      <c r="W338" s="30">
        <v>10</v>
      </c>
      <c r="X338" s="30">
        <v>10</v>
      </c>
      <c r="Y338" s="30">
        <v>10</v>
      </c>
      <c r="Z338" s="30">
        <f>9+10+1</f>
        <v>20</v>
      </c>
      <c r="AA338" s="30">
        <v>18</v>
      </c>
      <c r="AB338" s="30">
        <v>18</v>
      </c>
      <c r="AC338" s="30">
        <v>17</v>
      </c>
      <c r="AD338" s="30">
        <f>16</f>
        <v>16</v>
      </c>
      <c r="AE338" s="30">
        <v>14</v>
      </c>
      <c r="AF338" s="30">
        <v>10</v>
      </c>
      <c r="AG338" s="30">
        <f>7+10+1</f>
        <v>18</v>
      </c>
      <c r="AH338" s="30">
        <f>4+10</f>
        <v>14</v>
      </c>
      <c r="AI338" s="30">
        <f>4+10</f>
        <v>14</v>
      </c>
      <c r="AJ338" s="30">
        <f>5+7</f>
        <v>12</v>
      </c>
    </row>
    <row r="339" spans="1:36" ht="80.099999999999994" customHeight="1">
      <c r="A339" s="125" t="s">
        <v>8</v>
      </c>
      <c r="B339" s="79" t="s">
        <v>1062</v>
      </c>
      <c r="C339" s="78" t="s">
        <v>716</v>
      </c>
      <c r="D339" s="58" t="s">
        <v>715</v>
      </c>
      <c r="E339" s="76">
        <v>6</v>
      </c>
      <c r="F339" s="99" t="s">
        <v>717</v>
      </c>
      <c r="G339" s="25"/>
      <c r="H339" s="25"/>
      <c r="J339" s="30">
        <v>28</v>
      </c>
      <c r="K339" s="30">
        <v>28</v>
      </c>
      <c r="L339" s="30">
        <v>28</v>
      </c>
      <c r="M339" s="30">
        <v>27</v>
      </c>
      <c r="N339" s="30">
        <v>27</v>
      </c>
      <c r="O339" s="30">
        <v>27</v>
      </c>
      <c r="P339" s="30">
        <v>27</v>
      </c>
      <c r="Q339" s="30">
        <v>27</v>
      </c>
      <c r="R339" s="30">
        <v>27</v>
      </c>
      <c r="S339" s="30">
        <v>27</v>
      </c>
      <c r="T339" s="30">
        <v>27</v>
      </c>
      <c r="U339" s="30">
        <v>27</v>
      </c>
      <c r="V339" s="30">
        <v>27</v>
      </c>
      <c r="W339" s="30">
        <v>27</v>
      </c>
      <c r="X339" s="30">
        <v>27</v>
      </c>
      <c r="Y339" s="30">
        <v>27</v>
      </c>
      <c r="Z339" s="30">
        <v>27</v>
      </c>
      <c r="AA339" s="30">
        <v>27</v>
      </c>
      <c r="AB339" s="30">
        <v>27</v>
      </c>
      <c r="AC339" s="30">
        <v>27</v>
      </c>
      <c r="AD339" s="30">
        <v>27</v>
      </c>
      <c r="AE339" s="30">
        <v>27</v>
      </c>
      <c r="AF339" s="30">
        <v>27</v>
      </c>
      <c r="AG339" s="30">
        <v>27</v>
      </c>
      <c r="AH339" s="30">
        <v>27</v>
      </c>
      <c r="AI339" s="30">
        <v>27</v>
      </c>
      <c r="AJ339" s="30">
        <v>27</v>
      </c>
    </row>
    <row r="340" spans="1:36" ht="80.099999999999994" customHeight="1">
      <c r="A340" s="125" t="s">
        <v>8</v>
      </c>
      <c r="B340" s="79" t="s">
        <v>1062</v>
      </c>
      <c r="C340" s="78" t="s">
        <v>719</v>
      </c>
      <c r="D340" s="58" t="s">
        <v>718</v>
      </c>
      <c r="E340" s="76">
        <v>8</v>
      </c>
      <c r="F340" s="99" t="s">
        <v>720</v>
      </c>
      <c r="G340" s="25"/>
      <c r="H340" s="25"/>
      <c r="J340" s="30">
        <v>24</v>
      </c>
      <c r="K340" s="30">
        <v>24</v>
      </c>
      <c r="L340" s="30">
        <v>24</v>
      </c>
      <c r="M340" s="30">
        <v>24</v>
      </c>
      <c r="N340" s="30">
        <v>24</v>
      </c>
      <c r="O340" s="30">
        <v>24</v>
      </c>
      <c r="P340" s="30">
        <v>24</v>
      </c>
      <c r="Q340" s="30">
        <v>24</v>
      </c>
      <c r="R340" s="30">
        <v>23</v>
      </c>
      <c r="S340" s="30">
        <v>23</v>
      </c>
      <c r="T340" s="30">
        <v>23</v>
      </c>
      <c r="U340" s="30">
        <v>23</v>
      </c>
      <c r="V340" s="30">
        <v>23</v>
      </c>
      <c r="W340" s="30">
        <v>23</v>
      </c>
      <c r="X340" s="30">
        <v>23</v>
      </c>
      <c r="Y340" s="30">
        <v>23</v>
      </c>
      <c r="Z340" s="30">
        <v>23</v>
      </c>
      <c r="AA340" s="30">
        <v>23</v>
      </c>
      <c r="AB340" s="30">
        <f>21+1</f>
        <v>22</v>
      </c>
      <c r="AC340" s="30">
        <v>22</v>
      </c>
      <c r="AD340" s="30">
        <v>22</v>
      </c>
      <c r="AE340" s="30">
        <v>21</v>
      </c>
      <c r="AF340" s="30">
        <v>20</v>
      </c>
      <c r="AG340" s="30">
        <v>20</v>
      </c>
      <c r="AH340" s="30">
        <v>20</v>
      </c>
      <c r="AI340" s="30">
        <v>20</v>
      </c>
      <c r="AJ340" s="30">
        <v>20</v>
      </c>
    </row>
    <row r="341" spans="1:36" ht="80.099999999999994" customHeight="1">
      <c r="A341" s="125" t="s">
        <v>8</v>
      </c>
      <c r="B341" s="79" t="s">
        <v>1062</v>
      </c>
      <c r="C341" s="78" t="s">
        <v>722</v>
      </c>
      <c r="D341" s="58" t="s">
        <v>721</v>
      </c>
      <c r="E341" s="76">
        <v>9</v>
      </c>
      <c r="F341" s="99" t="s">
        <v>723</v>
      </c>
      <c r="G341" s="25"/>
      <c r="H341" s="25"/>
      <c r="J341" s="30">
        <v>18</v>
      </c>
      <c r="K341" s="30">
        <v>18</v>
      </c>
      <c r="L341" s="30">
        <v>18</v>
      </c>
      <c r="M341" s="30">
        <v>18</v>
      </c>
      <c r="N341" s="30">
        <v>18</v>
      </c>
      <c r="O341" s="30">
        <v>18</v>
      </c>
      <c r="P341" s="30">
        <v>18</v>
      </c>
      <c r="Q341" s="30">
        <v>18</v>
      </c>
      <c r="R341" s="30">
        <v>17</v>
      </c>
      <c r="S341" s="30">
        <v>16</v>
      </c>
      <c r="T341" s="30">
        <v>16</v>
      </c>
      <c r="U341" s="30">
        <v>15</v>
      </c>
      <c r="V341" s="30">
        <v>15</v>
      </c>
      <c r="W341" s="30">
        <v>16</v>
      </c>
      <c r="X341" s="30">
        <v>16</v>
      </c>
      <c r="Y341" s="30">
        <v>16</v>
      </c>
      <c r="Z341" s="30">
        <v>16</v>
      </c>
      <c r="AA341" s="30">
        <v>16</v>
      </c>
      <c r="AB341" s="30">
        <v>16</v>
      </c>
      <c r="AC341" s="30">
        <v>16</v>
      </c>
      <c r="AD341" s="30">
        <f>15+1</f>
        <v>16</v>
      </c>
      <c r="AE341" s="30">
        <f>15+1</f>
        <v>16</v>
      </c>
      <c r="AF341" s="30">
        <f>14+1</f>
        <v>15</v>
      </c>
      <c r="AG341" s="30">
        <v>14</v>
      </c>
      <c r="AH341" s="30">
        <v>14</v>
      </c>
      <c r="AI341" s="30">
        <v>14</v>
      </c>
      <c r="AJ341" s="30">
        <v>14</v>
      </c>
    </row>
    <row r="342" spans="1:36" ht="80.099999999999994" customHeight="1">
      <c r="A342" s="125" t="s">
        <v>8</v>
      </c>
      <c r="B342" s="79" t="s">
        <v>1071</v>
      </c>
      <c r="C342" s="78" t="s">
        <v>725</v>
      </c>
      <c r="D342" s="58" t="s">
        <v>724</v>
      </c>
      <c r="E342" s="76">
        <v>6</v>
      </c>
      <c r="F342" s="99" t="s">
        <v>726</v>
      </c>
      <c r="G342" s="25"/>
      <c r="H342" s="25"/>
      <c r="J342" s="30">
        <v>23</v>
      </c>
      <c r="K342" s="30">
        <v>23</v>
      </c>
      <c r="L342" s="30">
        <v>23</v>
      </c>
      <c r="M342" s="30">
        <v>23</v>
      </c>
      <c r="N342" s="30">
        <v>23</v>
      </c>
      <c r="O342" s="30">
        <v>23</v>
      </c>
      <c r="P342" s="30">
        <v>23</v>
      </c>
      <c r="Q342" s="30">
        <v>23</v>
      </c>
      <c r="R342" s="30">
        <v>23</v>
      </c>
      <c r="S342" s="30">
        <v>23</v>
      </c>
      <c r="T342" s="30">
        <v>23</v>
      </c>
      <c r="U342" s="30">
        <v>23</v>
      </c>
      <c r="V342" s="30">
        <v>23</v>
      </c>
      <c r="W342" s="30">
        <v>23</v>
      </c>
      <c r="X342" s="30">
        <v>23</v>
      </c>
      <c r="Y342" s="30">
        <v>23</v>
      </c>
      <c r="Z342" s="30">
        <v>23</v>
      </c>
      <c r="AA342" s="30">
        <v>23</v>
      </c>
      <c r="AB342" s="30">
        <v>23</v>
      </c>
      <c r="AC342" s="30">
        <v>23</v>
      </c>
      <c r="AD342" s="30">
        <v>23</v>
      </c>
      <c r="AE342" s="30">
        <v>21</v>
      </c>
      <c r="AF342" s="30">
        <v>20</v>
      </c>
      <c r="AG342" s="30">
        <v>20</v>
      </c>
      <c r="AH342" s="30">
        <v>19</v>
      </c>
      <c r="AI342" s="30">
        <v>19</v>
      </c>
      <c r="AJ342" s="30">
        <v>19</v>
      </c>
    </row>
    <row r="343" spans="1:36" ht="80.099999999999994" customHeight="1">
      <c r="A343" s="125" t="s">
        <v>8</v>
      </c>
      <c r="B343" s="79" t="s">
        <v>1071</v>
      </c>
      <c r="C343" s="78" t="s">
        <v>728</v>
      </c>
      <c r="D343" s="58" t="s">
        <v>727</v>
      </c>
      <c r="E343" s="76">
        <v>7</v>
      </c>
      <c r="F343" s="99" t="s">
        <v>729</v>
      </c>
      <c r="G343" s="25"/>
      <c r="H343" s="25"/>
      <c r="J343" s="30">
        <v>5</v>
      </c>
      <c r="K343" s="30">
        <v>5</v>
      </c>
      <c r="L343" s="30">
        <v>5</v>
      </c>
      <c r="M343" s="30">
        <v>5</v>
      </c>
      <c r="N343" s="30">
        <v>5</v>
      </c>
      <c r="O343" s="30">
        <v>5</v>
      </c>
      <c r="P343" s="30">
        <v>5</v>
      </c>
      <c r="Q343" s="30">
        <f>4+1</f>
        <v>5</v>
      </c>
      <c r="R343" s="30">
        <v>2</v>
      </c>
      <c r="S343" s="30">
        <v>1</v>
      </c>
      <c r="T343" s="30">
        <v>1</v>
      </c>
      <c r="U343" s="30">
        <v>1</v>
      </c>
      <c r="V343" s="30">
        <v>1</v>
      </c>
      <c r="W343" s="30">
        <v>2</v>
      </c>
      <c r="X343" s="30">
        <v>2</v>
      </c>
      <c r="Y343" s="30">
        <v>2</v>
      </c>
      <c r="Z343" s="30">
        <f>2+5</f>
        <v>7</v>
      </c>
      <c r="AA343" s="30">
        <v>7</v>
      </c>
      <c r="AB343" s="30">
        <v>7</v>
      </c>
      <c r="AC343" s="30">
        <v>7</v>
      </c>
      <c r="AD343" s="30">
        <v>6</v>
      </c>
      <c r="AE343" s="30">
        <f>6+10</f>
        <v>16</v>
      </c>
      <c r="AF343" s="30">
        <f>6+10</f>
        <v>16</v>
      </c>
      <c r="AG343" s="30">
        <f>9+8</f>
        <v>17</v>
      </c>
      <c r="AH343" s="30">
        <f>15+2</f>
        <v>17</v>
      </c>
      <c r="AI343" s="30">
        <v>16</v>
      </c>
      <c r="AJ343" s="30">
        <v>16</v>
      </c>
    </row>
    <row r="344" spans="1:36" ht="80.099999999999994" customHeight="1">
      <c r="A344" s="125" t="s">
        <v>8</v>
      </c>
      <c r="B344" s="79" t="s">
        <v>1071</v>
      </c>
      <c r="C344" s="78" t="s">
        <v>731</v>
      </c>
      <c r="D344" s="58" t="s">
        <v>730</v>
      </c>
      <c r="E344" s="76">
        <v>8</v>
      </c>
      <c r="F344" s="99" t="s">
        <v>732</v>
      </c>
      <c r="G344" s="25"/>
      <c r="H344" s="25"/>
      <c r="J344" s="30">
        <v>6</v>
      </c>
      <c r="K344" s="30">
        <v>6</v>
      </c>
      <c r="L344" s="30">
        <v>7</v>
      </c>
      <c r="M344" s="30">
        <v>7</v>
      </c>
      <c r="N344" s="30">
        <v>7</v>
      </c>
      <c r="O344" s="30">
        <v>7</v>
      </c>
      <c r="P344" s="30">
        <v>7</v>
      </c>
      <c r="Q344" s="30">
        <v>7</v>
      </c>
      <c r="R344" s="30">
        <v>7</v>
      </c>
      <c r="S344" s="30">
        <v>7</v>
      </c>
      <c r="T344" s="30">
        <v>7</v>
      </c>
      <c r="U344" s="30">
        <v>7</v>
      </c>
      <c r="V344" s="30">
        <v>7</v>
      </c>
      <c r="W344" s="30">
        <v>5</v>
      </c>
      <c r="X344" s="30">
        <v>4</v>
      </c>
      <c r="Y344" s="30">
        <v>4</v>
      </c>
      <c r="Z344" s="30">
        <f>4+5</f>
        <v>9</v>
      </c>
      <c r="AA344" s="30">
        <v>9</v>
      </c>
      <c r="AB344" s="30">
        <v>9</v>
      </c>
      <c r="AC344" s="30">
        <v>9</v>
      </c>
      <c r="AD344" s="30">
        <v>8</v>
      </c>
      <c r="AE344" s="30">
        <v>7</v>
      </c>
      <c r="AF344" s="30">
        <v>4</v>
      </c>
      <c r="AG344" s="30">
        <f>3+10</f>
        <v>13</v>
      </c>
      <c r="AH344" s="30">
        <f>3+10</f>
        <v>13</v>
      </c>
      <c r="AI344" s="30">
        <f>3+9</f>
        <v>12</v>
      </c>
      <c r="AJ344" s="30">
        <f>6+6</f>
        <v>12</v>
      </c>
    </row>
    <row r="345" spans="1:36" ht="80.099999999999994" customHeight="1">
      <c r="A345" s="125" t="s">
        <v>8</v>
      </c>
      <c r="B345" s="79" t="s">
        <v>1071</v>
      </c>
      <c r="C345" s="78" t="s">
        <v>734</v>
      </c>
      <c r="D345" s="58" t="s">
        <v>733</v>
      </c>
      <c r="E345" s="76">
        <v>9</v>
      </c>
      <c r="F345" s="99" t="s">
        <v>735</v>
      </c>
      <c r="G345" s="25"/>
      <c r="H345" s="25"/>
      <c r="J345" s="30">
        <v>10</v>
      </c>
      <c r="K345" s="30">
        <v>10</v>
      </c>
      <c r="L345" s="30">
        <v>10</v>
      </c>
      <c r="M345" s="30">
        <v>10</v>
      </c>
      <c r="N345" s="30">
        <v>9</v>
      </c>
      <c r="O345" s="30">
        <v>9</v>
      </c>
      <c r="P345" s="30">
        <v>9</v>
      </c>
      <c r="Q345" s="30">
        <v>9</v>
      </c>
      <c r="R345" s="30">
        <v>9</v>
      </c>
      <c r="S345" s="30">
        <v>9</v>
      </c>
      <c r="T345" s="30">
        <v>9</v>
      </c>
      <c r="U345" s="30">
        <v>9</v>
      </c>
      <c r="V345" s="30">
        <f>7</f>
        <v>7</v>
      </c>
      <c r="W345" s="30">
        <v>7</v>
      </c>
      <c r="X345" s="30">
        <v>7</v>
      </c>
      <c r="Y345" s="30">
        <v>7</v>
      </c>
      <c r="Z345" s="30">
        <v>7</v>
      </c>
      <c r="AA345" s="30">
        <v>7</v>
      </c>
      <c r="AB345" s="30">
        <f>6+1</f>
        <v>7</v>
      </c>
      <c r="AC345" s="30">
        <v>5</v>
      </c>
      <c r="AD345" s="30">
        <v>5</v>
      </c>
      <c r="AE345" s="30">
        <f>3+10</f>
        <v>13</v>
      </c>
      <c r="AF345" s="30">
        <f>5+7</f>
        <v>12</v>
      </c>
      <c r="AG345" s="30">
        <f>7+5</f>
        <v>12</v>
      </c>
      <c r="AH345" s="30">
        <f>11+1</f>
        <v>12</v>
      </c>
      <c r="AI345" s="30">
        <v>12</v>
      </c>
      <c r="AJ345" s="30">
        <v>12</v>
      </c>
    </row>
    <row r="346" spans="1:36" ht="79.5" customHeight="1">
      <c r="A346" s="125" t="s">
        <v>8</v>
      </c>
      <c r="B346" s="79" t="s">
        <v>1062</v>
      </c>
      <c r="C346" s="78" t="s">
        <v>737</v>
      </c>
      <c r="D346" s="58" t="s">
        <v>736</v>
      </c>
      <c r="E346" s="76">
        <v>6</v>
      </c>
      <c r="F346" s="99" t="s">
        <v>738</v>
      </c>
      <c r="G346" s="25"/>
      <c r="H346" s="25"/>
      <c r="J346" s="30">
        <v>44</v>
      </c>
      <c r="K346" s="30">
        <v>44</v>
      </c>
      <c r="L346" s="30">
        <v>44</v>
      </c>
      <c r="M346" s="30">
        <v>44</v>
      </c>
      <c r="N346" s="30">
        <v>44</v>
      </c>
      <c r="O346" s="30">
        <v>44</v>
      </c>
      <c r="P346" s="30">
        <v>44</v>
      </c>
      <c r="Q346" s="30">
        <v>44</v>
      </c>
      <c r="R346" s="30">
        <v>44</v>
      </c>
      <c r="S346" s="30">
        <v>44</v>
      </c>
      <c r="T346" s="30">
        <v>44</v>
      </c>
      <c r="U346" s="30">
        <v>44</v>
      </c>
      <c r="V346" s="30">
        <v>44</v>
      </c>
      <c r="W346" s="30">
        <v>44</v>
      </c>
      <c r="X346" s="30">
        <v>44</v>
      </c>
      <c r="Y346" s="30">
        <v>44</v>
      </c>
      <c r="Z346" s="30">
        <v>44</v>
      </c>
      <c r="AA346" s="30">
        <v>44</v>
      </c>
      <c r="AB346" s="30">
        <v>44</v>
      </c>
      <c r="AC346" s="30">
        <v>44</v>
      </c>
      <c r="AD346" s="30">
        <v>44</v>
      </c>
      <c r="AE346" s="30">
        <v>44</v>
      </c>
      <c r="AF346" s="30">
        <v>44</v>
      </c>
      <c r="AG346" s="30">
        <v>44</v>
      </c>
      <c r="AH346" s="30">
        <v>44</v>
      </c>
      <c r="AI346" s="30">
        <v>44</v>
      </c>
      <c r="AJ346" s="30">
        <v>44</v>
      </c>
    </row>
    <row r="347" spans="1:36" ht="80.099999999999994" customHeight="1">
      <c r="A347" s="125" t="s">
        <v>8</v>
      </c>
      <c r="B347" s="79" t="s">
        <v>1062</v>
      </c>
      <c r="C347" s="78" t="s">
        <v>740</v>
      </c>
      <c r="D347" s="58" t="s">
        <v>739</v>
      </c>
      <c r="E347" s="76">
        <v>7</v>
      </c>
      <c r="F347" s="99" t="s">
        <v>741</v>
      </c>
      <c r="G347" s="25"/>
      <c r="H347" s="25"/>
      <c r="J347" s="30">
        <v>37</v>
      </c>
      <c r="K347" s="30">
        <v>37</v>
      </c>
      <c r="L347" s="30">
        <v>37</v>
      </c>
      <c r="M347" s="30">
        <v>37</v>
      </c>
      <c r="N347" s="30">
        <v>37</v>
      </c>
      <c r="O347" s="30">
        <v>37</v>
      </c>
      <c r="P347" s="30">
        <v>37</v>
      </c>
      <c r="Q347" s="30">
        <v>37</v>
      </c>
      <c r="R347" s="30">
        <v>37</v>
      </c>
      <c r="S347" s="30">
        <v>37</v>
      </c>
      <c r="T347" s="30">
        <v>37</v>
      </c>
      <c r="U347" s="30">
        <v>37</v>
      </c>
      <c r="V347" s="30">
        <v>37</v>
      </c>
      <c r="W347" s="30">
        <v>37</v>
      </c>
      <c r="X347" s="30">
        <v>37</v>
      </c>
      <c r="Y347" s="30">
        <v>37</v>
      </c>
      <c r="Z347" s="30">
        <v>37</v>
      </c>
      <c r="AA347" s="30">
        <v>37</v>
      </c>
      <c r="AB347" s="30">
        <v>37</v>
      </c>
      <c r="AC347" s="30">
        <v>37</v>
      </c>
      <c r="AD347" s="30">
        <v>37</v>
      </c>
      <c r="AE347" s="30">
        <v>36</v>
      </c>
      <c r="AF347" s="30">
        <v>36</v>
      </c>
      <c r="AG347" s="30">
        <v>36</v>
      </c>
      <c r="AH347" s="30">
        <v>35</v>
      </c>
      <c r="AI347" s="30">
        <v>35</v>
      </c>
      <c r="AJ347" s="30">
        <v>35</v>
      </c>
    </row>
    <row r="348" spans="1:36" ht="89.25" customHeight="1">
      <c r="A348" s="125" t="s">
        <v>8</v>
      </c>
      <c r="B348" s="79" t="s">
        <v>1062</v>
      </c>
      <c r="C348" s="78" t="s">
        <v>743</v>
      </c>
      <c r="D348" s="58" t="s">
        <v>742</v>
      </c>
      <c r="E348" s="76">
        <v>8</v>
      </c>
      <c r="F348" s="99" t="s">
        <v>744</v>
      </c>
      <c r="G348" s="25"/>
      <c r="H348" s="25"/>
      <c r="J348" s="30">
        <v>34</v>
      </c>
      <c r="K348" s="30">
        <v>34</v>
      </c>
      <c r="L348" s="30">
        <v>34</v>
      </c>
      <c r="M348" s="30">
        <v>34</v>
      </c>
      <c r="N348" s="30">
        <v>34</v>
      </c>
      <c r="O348" s="30">
        <v>34</v>
      </c>
      <c r="P348" s="30">
        <v>34</v>
      </c>
      <c r="Q348" s="30">
        <v>34</v>
      </c>
      <c r="R348" s="30">
        <v>34</v>
      </c>
      <c r="S348" s="30">
        <v>34</v>
      </c>
      <c r="T348" s="30">
        <v>34</v>
      </c>
      <c r="U348" s="30">
        <v>34</v>
      </c>
      <c r="V348" s="30">
        <v>34</v>
      </c>
      <c r="W348" s="30">
        <v>34</v>
      </c>
      <c r="X348" s="30">
        <v>33</v>
      </c>
      <c r="Y348" s="30">
        <v>33</v>
      </c>
      <c r="Z348" s="30">
        <v>33</v>
      </c>
      <c r="AA348" s="30">
        <v>33</v>
      </c>
      <c r="AB348" s="30">
        <v>33</v>
      </c>
      <c r="AC348" s="30">
        <v>33</v>
      </c>
      <c r="AD348" s="30">
        <v>33</v>
      </c>
      <c r="AE348" s="30">
        <v>33</v>
      </c>
      <c r="AF348" s="30">
        <v>32</v>
      </c>
      <c r="AG348" s="30">
        <v>32</v>
      </c>
      <c r="AH348" s="30">
        <v>32</v>
      </c>
      <c r="AI348" s="30">
        <v>32</v>
      </c>
      <c r="AJ348" s="30">
        <v>32</v>
      </c>
    </row>
    <row r="349" spans="1:36" ht="89.25" customHeight="1">
      <c r="A349" s="125" t="s">
        <v>8</v>
      </c>
      <c r="B349" s="79" t="s">
        <v>1062</v>
      </c>
      <c r="C349" s="78" t="s">
        <v>746</v>
      </c>
      <c r="D349" s="58" t="s">
        <v>745</v>
      </c>
      <c r="E349" s="76">
        <v>9</v>
      </c>
      <c r="F349" s="99" t="s">
        <v>747</v>
      </c>
      <c r="G349" s="25"/>
      <c r="H349" s="25"/>
      <c r="J349" s="30">
        <v>42</v>
      </c>
      <c r="K349" s="30">
        <v>41</v>
      </c>
      <c r="L349" s="30">
        <v>41</v>
      </c>
      <c r="M349" s="30">
        <v>41</v>
      </c>
      <c r="N349" s="30">
        <v>41</v>
      </c>
      <c r="O349" s="30">
        <v>41</v>
      </c>
      <c r="P349" s="30">
        <v>41</v>
      </c>
      <c r="Q349" s="30">
        <v>41</v>
      </c>
      <c r="R349" s="30">
        <v>41</v>
      </c>
      <c r="S349" s="30">
        <v>41</v>
      </c>
      <c r="T349" s="30">
        <f>40</f>
        <v>40</v>
      </c>
      <c r="U349" s="30">
        <v>40</v>
      </c>
      <c r="V349" s="30">
        <v>40</v>
      </c>
      <c r="W349" s="30">
        <v>40</v>
      </c>
      <c r="X349" s="30">
        <v>40</v>
      </c>
      <c r="Y349" s="30">
        <v>40</v>
      </c>
      <c r="Z349" s="30">
        <v>40</v>
      </c>
      <c r="AA349" s="30">
        <v>40</v>
      </c>
      <c r="AB349" s="30">
        <v>40</v>
      </c>
      <c r="AC349" s="30">
        <v>40</v>
      </c>
      <c r="AD349" s="30">
        <v>40</v>
      </c>
      <c r="AE349" s="30">
        <v>40</v>
      </c>
      <c r="AF349" s="30">
        <v>40</v>
      </c>
      <c r="AG349" s="30">
        <v>40</v>
      </c>
      <c r="AH349" s="30">
        <v>40</v>
      </c>
      <c r="AI349" s="30">
        <v>40</v>
      </c>
      <c r="AJ349" s="30">
        <v>40</v>
      </c>
    </row>
    <row r="350" spans="1:36" ht="89.25" customHeight="1">
      <c r="A350" s="125" t="s">
        <v>8</v>
      </c>
      <c r="B350" s="79" t="s">
        <v>1071</v>
      </c>
      <c r="C350" s="78" t="s">
        <v>749</v>
      </c>
      <c r="D350" s="58" t="s">
        <v>748</v>
      </c>
      <c r="E350" s="76">
        <v>6</v>
      </c>
      <c r="F350" s="99" t="s">
        <v>750</v>
      </c>
      <c r="G350" s="25"/>
      <c r="H350" s="25"/>
      <c r="J350" s="30">
        <v>22</v>
      </c>
      <c r="K350" s="30">
        <v>22</v>
      </c>
      <c r="L350" s="30">
        <v>22</v>
      </c>
      <c r="M350" s="30">
        <v>22</v>
      </c>
      <c r="N350" s="30">
        <v>22</v>
      </c>
      <c r="O350" s="30">
        <f>21+1</f>
        <v>22</v>
      </c>
      <c r="P350" s="30">
        <v>21</v>
      </c>
      <c r="Q350" s="30">
        <v>21</v>
      </c>
      <c r="R350" s="30">
        <v>21</v>
      </c>
      <c r="S350" s="30">
        <v>21</v>
      </c>
      <c r="T350" s="30">
        <v>21</v>
      </c>
      <c r="U350" s="30">
        <v>21</v>
      </c>
      <c r="V350" s="30">
        <v>21</v>
      </c>
      <c r="W350" s="30">
        <f>19+1</f>
        <v>20</v>
      </c>
      <c r="X350" s="30">
        <v>18</v>
      </c>
      <c r="Y350" s="30">
        <v>18</v>
      </c>
      <c r="Z350" s="30">
        <v>18</v>
      </c>
      <c r="AA350" s="30">
        <v>18</v>
      </c>
      <c r="AB350" s="30">
        <v>18</v>
      </c>
      <c r="AC350" s="30">
        <v>18</v>
      </c>
      <c r="AD350" s="30">
        <v>18</v>
      </c>
      <c r="AE350" s="30">
        <v>18</v>
      </c>
      <c r="AF350" s="30">
        <v>18</v>
      </c>
      <c r="AG350" s="30">
        <v>18</v>
      </c>
      <c r="AH350" s="30">
        <v>18</v>
      </c>
      <c r="AI350" s="30">
        <v>18</v>
      </c>
      <c r="AJ350" s="30">
        <v>18</v>
      </c>
    </row>
    <row r="351" spans="1:36" ht="90" customHeight="1">
      <c r="A351" s="125" t="s">
        <v>8</v>
      </c>
      <c r="B351" s="79" t="s">
        <v>1071</v>
      </c>
      <c r="C351" s="78" t="s">
        <v>752</v>
      </c>
      <c r="D351" s="58" t="s">
        <v>751</v>
      </c>
      <c r="E351" s="76">
        <v>7</v>
      </c>
      <c r="F351" s="99" t="s">
        <v>753</v>
      </c>
      <c r="G351" s="25"/>
      <c r="H351" s="25"/>
      <c r="J351" s="30">
        <v>26</v>
      </c>
      <c r="K351" s="30">
        <v>26</v>
      </c>
      <c r="L351" s="30">
        <v>26</v>
      </c>
      <c r="M351" s="30">
        <v>26</v>
      </c>
      <c r="N351" s="30">
        <v>26</v>
      </c>
      <c r="O351" s="30">
        <v>26</v>
      </c>
      <c r="P351" s="30">
        <v>26</v>
      </c>
      <c r="Q351" s="30">
        <v>26</v>
      </c>
      <c r="R351" s="30">
        <v>26</v>
      </c>
      <c r="S351" s="30">
        <v>26</v>
      </c>
      <c r="T351" s="30">
        <v>26</v>
      </c>
      <c r="U351" s="30">
        <v>26</v>
      </c>
      <c r="V351" s="30">
        <v>26</v>
      </c>
      <c r="W351" s="30">
        <v>25</v>
      </c>
      <c r="X351" s="30">
        <v>24</v>
      </c>
      <c r="Y351" s="30">
        <v>24</v>
      </c>
      <c r="Z351" s="30">
        <v>24</v>
      </c>
      <c r="AA351" s="30">
        <v>24</v>
      </c>
      <c r="AB351" s="30">
        <v>24</v>
      </c>
      <c r="AC351" s="30">
        <v>24</v>
      </c>
      <c r="AD351" s="30">
        <f>23</f>
        <v>23</v>
      </c>
      <c r="AE351" s="30">
        <v>23</v>
      </c>
      <c r="AF351" s="30">
        <v>23</v>
      </c>
      <c r="AG351" s="30">
        <v>23</v>
      </c>
      <c r="AH351" s="30">
        <v>23</v>
      </c>
      <c r="AI351" s="30">
        <v>23</v>
      </c>
      <c r="AJ351" s="30">
        <f>21+1</f>
        <v>22</v>
      </c>
    </row>
    <row r="352" spans="1:36" ht="89.25" customHeight="1">
      <c r="A352" s="125" t="s">
        <v>8</v>
      </c>
      <c r="B352" s="79" t="s">
        <v>1071</v>
      </c>
      <c r="C352" s="78" t="s">
        <v>755</v>
      </c>
      <c r="D352" s="60" t="s">
        <v>754</v>
      </c>
      <c r="E352" s="76">
        <v>8</v>
      </c>
      <c r="F352" s="77" t="s">
        <v>756</v>
      </c>
      <c r="G352" s="25"/>
      <c r="H352" s="25"/>
      <c r="J352" s="30">
        <v>12</v>
      </c>
      <c r="K352" s="30">
        <v>12</v>
      </c>
      <c r="L352" s="30">
        <v>12</v>
      </c>
      <c r="M352" s="30">
        <v>12</v>
      </c>
      <c r="N352" s="30">
        <v>12</v>
      </c>
      <c r="O352" s="30">
        <v>12</v>
      </c>
      <c r="P352" s="30">
        <v>12</v>
      </c>
      <c r="Q352" s="30">
        <v>12</v>
      </c>
      <c r="R352" s="30">
        <v>12</v>
      </c>
      <c r="S352" s="30">
        <v>12</v>
      </c>
      <c r="T352" s="30">
        <v>12</v>
      </c>
      <c r="U352" s="30">
        <v>12</v>
      </c>
      <c r="V352" s="30">
        <v>12</v>
      </c>
      <c r="W352" s="30">
        <v>12</v>
      </c>
      <c r="X352" s="30">
        <v>12</v>
      </c>
      <c r="Y352" s="30">
        <v>12</v>
      </c>
      <c r="Z352" s="30">
        <v>12</v>
      </c>
      <c r="AA352" s="30">
        <v>12</v>
      </c>
      <c r="AB352" s="30">
        <v>12</v>
      </c>
      <c r="AC352" s="30">
        <v>12</v>
      </c>
      <c r="AD352" s="30">
        <v>12</v>
      </c>
      <c r="AE352" s="30">
        <f>10+1</f>
        <v>11</v>
      </c>
      <c r="AF352" s="30">
        <v>11</v>
      </c>
      <c r="AG352" s="30">
        <v>10</v>
      </c>
      <c r="AH352" s="30">
        <v>10</v>
      </c>
      <c r="AI352" s="30">
        <v>10</v>
      </c>
      <c r="AJ352" s="30">
        <v>10</v>
      </c>
    </row>
    <row r="353" spans="1:36" ht="89.25" customHeight="1">
      <c r="A353" s="125" t="s">
        <v>8</v>
      </c>
      <c r="B353" s="79" t="s">
        <v>1071</v>
      </c>
      <c r="C353" s="78" t="s">
        <v>758</v>
      </c>
      <c r="D353" s="58" t="s">
        <v>757</v>
      </c>
      <c r="E353" s="76">
        <v>9</v>
      </c>
      <c r="F353" s="99" t="s">
        <v>759</v>
      </c>
      <c r="G353" s="25"/>
      <c r="H353" s="25"/>
      <c r="J353" s="30">
        <v>33</v>
      </c>
      <c r="K353" s="30">
        <v>33</v>
      </c>
      <c r="L353" s="30">
        <v>33</v>
      </c>
      <c r="M353" s="30">
        <v>33</v>
      </c>
      <c r="N353" s="30">
        <v>33</v>
      </c>
      <c r="O353" s="30">
        <v>33</v>
      </c>
      <c r="P353" s="30">
        <v>33</v>
      </c>
      <c r="Q353" s="30">
        <v>33</v>
      </c>
      <c r="R353" s="30">
        <v>32</v>
      </c>
      <c r="S353" s="30">
        <v>31</v>
      </c>
      <c r="T353" s="30">
        <v>31</v>
      </c>
      <c r="U353" s="30">
        <v>31</v>
      </c>
      <c r="V353" s="30">
        <v>31</v>
      </c>
      <c r="W353" s="30">
        <v>29</v>
      </c>
      <c r="X353" s="30">
        <v>28</v>
      </c>
      <c r="Y353" s="30">
        <v>28</v>
      </c>
      <c r="Z353" s="30">
        <v>28</v>
      </c>
      <c r="AA353" s="30">
        <v>28</v>
      </c>
      <c r="AB353" s="30">
        <v>28</v>
      </c>
      <c r="AC353" s="30">
        <v>28</v>
      </c>
      <c r="AD353" s="30">
        <v>28</v>
      </c>
      <c r="AE353" s="30">
        <v>28</v>
      </c>
      <c r="AF353" s="30">
        <v>28</v>
      </c>
      <c r="AG353" s="30">
        <v>28</v>
      </c>
      <c r="AH353" s="30">
        <v>28</v>
      </c>
      <c r="AI353" s="30">
        <v>28</v>
      </c>
      <c r="AJ353" s="30">
        <v>28</v>
      </c>
    </row>
    <row r="354" spans="1:36" ht="89.25" customHeight="1">
      <c r="A354" s="127" t="s">
        <v>8</v>
      </c>
      <c r="B354" s="86" t="s">
        <v>1072</v>
      </c>
      <c r="C354" s="75" t="s">
        <v>761</v>
      </c>
      <c r="D354" s="60" t="s">
        <v>760</v>
      </c>
      <c r="E354" s="94">
        <v>6</v>
      </c>
      <c r="F354" s="114" t="s">
        <v>762</v>
      </c>
      <c r="G354" s="25"/>
      <c r="H354" s="44"/>
      <c r="I354" s="30"/>
      <c r="J354" s="30">
        <f>81+2</f>
        <v>83</v>
      </c>
      <c r="K354" s="30">
        <f>78+2</f>
        <v>80</v>
      </c>
      <c r="L354" s="30">
        <f>76+2</f>
        <v>78</v>
      </c>
      <c r="M354" s="30">
        <f>77+2</f>
        <v>79</v>
      </c>
      <c r="N354" s="30">
        <f>74+2</f>
        <v>76</v>
      </c>
      <c r="O354" s="30">
        <f>71+1</f>
        <v>72</v>
      </c>
      <c r="P354" s="30">
        <f>71+1</f>
        <v>72</v>
      </c>
      <c r="Q354" s="30">
        <f>69+2</f>
        <v>71</v>
      </c>
      <c r="R354" s="30">
        <f>67+1</f>
        <v>68</v>
      </c>
      <c r="S354" s="30">
        <f>65+2</f>
        <v>67</v>
      </c>
      <c r="T354" s="30">
        <v>65</v>
      </c>
      <c r="U354" s="30">
        <v>62</v>
      </c>
      <c r="V354" s="30">
        <f>58+20</f>
        <v>78</v>
      </c>
      <c r="W354" s="30">
        <v>63</v>
      </c>
      <c r="X354" s="30">
        <v>60</v>
      </c>
      <c r="Y354" s="30">
        <f>57+1</f>
        <v>58</v>
      </c>
      <c r="Z354" s="30">
        <v>57</v>
      </c>
      <c r="AA354" s="30">
        <f>51+1</f>
        <v>52</v>
      </c>
      <c r="AB354" s="30">
        <f>48+1</f>
        <v>49</v>
      </c>
      <c r="AC354" s="30">
        <v>44</v>
      </c>
      <c r="AD354" s="30">
        <f>39+1</f>
        <v>40</v>
      </c>
      <c r="AE354" s="30">
        <f>34+20+1</f>
        <v>55</v>
      </c>
      <c r="AF354" s="30">
        <f>27+20+3</f>
        <v>50</v>
      </c>
      <c r="AG354" s="30">
        <f>30+16</f>
        <v>46</v>
      </c>
      <c r="AH354" s="30">
        <f>40+20+2</f>
        <v>62</v>
      </c>
      <c r="AI354" s="30">
        <f>42+20</f>
        <v>62</v>
      </c>
      <c r="AJ354" s="30">
        <f>48+13</f>
        <v>61</v>
      </c>
    </row>
    <row r="355" spans="1:36" ht="89.25" customHeight="1">
      <c r="A355" s="127" t="s">
        <v>8</v>
      </c>
      <c r="B355" s="86" t="s">
        <v>1072</v>
      </c>
      <c r="C355" s="75" t="s">
        <v>960</v>
      </c>
      <c r="D355" s="60" t="s">
        <v>763</v>
      </c>
      <c r="E355" s="76">
        <v>7</v>
      </c>
      <c r="F355" s="114" t="s">
        <v>764</v>
      </c>
      <c r="G355" s="25"/>
      <c r="H355" s="44"/>
      <c r="I355" s="30"/>
      <c r="J355" s="30">
        <f>68+1</f>
        <v>69</v>
      </c>
      <c r="K355" s="30">
        <f>63+1</f>
        <v>64</v>
      </c>
      <c r="L355" s="30">
        <f>58+3</f>
        <v>61</v>
      </c>
      <c r="M355" s="30">
        <f>53+3</f>
        <v>56</v>
      </c>
      <c r="N355" s="30">
        <f>45+1</f>
        <v>46</v>
      </c>
      <c r="O355" s="30">
        <f>40+1</f>
        <v>41</v>
      </c>
      <c r="P355" s="30">
        <v>39</v>
      </c>
      <c r="Q355" s="30">
        <f>26+20+5</f>
        <v>51</v>
      </c>
      <c r="R355" s="30">
        <f>20+20+1</f>
        <v>41</v>
      </c>
      <c r="S355" s="30">
        <f>17+20+3</f>
        <v>40</v>
      </c>
      <c r="T355" s="30">
        <f>13+30+23</f>
        <v>66</v>
      </c>
      <c r="U355" s="30">
        <f>28+30</f>
        <v>58</v>
      </c>
      <c r="V355" s="30">
        <f>19+80+3</f>
        <v>102</v>
      </c>
      <c r="W355" s="30">
        <f>82+5</f>
        <v>87</v>
      </c>
      <c r="X355" s="30">
        <f>72+6</f>
        <v>78</v>
      </c>
      <c r="Y355" s="30">
        <f>68+7</f>
        <v>75</v>
      </c>
      <c r="Z355" s="30">
        <f>68+7</f>
        <v>75</v>
      </c>
      <c r="AA355" s="30">
        <f>63+6</f>
        <v>69</v>
      </c>
      <c r="AB355" s="30">
        <f>60+4</f>
        <v>64</v>
      </c>
      <c r="AC355" s="30">
        <f>43+11</f>
        <v>54</v>
      </c>
      <c r="AD355" s="30">
        <f>40+4</f>
        <v>44</v>
      </c>
      <c r="AE355" s="30">
        <f>34+20+2</f>
        <v>56</v>
      </c>
      <c r="AF355" s="30">
        <f>30+20+1</f>
        <v>51</v>
      </c>
      <c r="AG355" s="30">
        <f>24+22</f>
        <v>46</v>
      </c>
      <c r="AH355" s="30">
        <f>40+20+0</f>
        <v>60</v>
      </c>
      <c r="AI355" s="30">
        <f>35+23</f>
        <v>58</v>
      </c>
      <c r="AJ355" s="30">
        <f>34+15</f>
        <v>49</v>
      </c>
    </row>
    <row r="356" spans="1:36" ht="89.25" customHeight="1">
      <c r="A356" s="127" t="s">
        <v>8</v>
      </c>
      <c r="B356" s="86" t="s">
        <v>1072</v>
      </c>
      <c r="C356" s="75" t="s">
        <v>961</v>
      </c>
      <c r="D356" s="60" t="s">
        <v>765</v>
      </c>
      <c r="E356" s="76">
        <v>8</v>
      </c>
      <c r="F356" s="114" t="s">
        <v>766</v>
      </c>
      <c r="G356" s="25"/>
      <c r="H356" s="44"/>
      <c r="I356" s="30"/>
      <c r="J356" s="30">
        <f>70+3</f>
        <v>73</v>
      </c>
      <c r="K356" s="30">
        <f>67+2</f>
        <v>69</v>
      </c>
      <c r="L356" s="30">
        <f>62+4</f>
        <v>66</v>
      </c>
      <c r="M356" s="30">
        <f>57+6</f>
        <v>63</v>
      </c>
      <c r="N356" s="30">
        <f>45+3</f>
        <v>48</v>
      </c>
      <c r="O356" s="30">
        <f>38+4</f>
        <v>42</v>
      </c>
      <c r="P356" s="30">
        <f>37+3</f>
        <v>40</v>
      </c>
      <c r="Q356" s="30">
        <f>28+20+5</f>
        <v>53</v>
      </c>
      <c r="R356" s="30">
        <f>9+20+8</f>
        <v>37</v>
      </c>
      <c r="S356" s="30">
        <f>6+20+2</f>
        <v>28</v>
      </c>
      <c r="T356" s="30">
        <f>0+40+20</f>
        <v>60</v>
      </c>
      <c r="U356" s="30">
        <f>14+40+7</f>
        <v>61</v>
      </c>
      <c r="V356" s="30">
        <f>9+90+3</f>
        <v>102</v>
      </c>
      <c r="W356" s="30">
        <v>79</v>
      </c>
      <c r="X356" s="30">
        <v>75</v>
      </c>
      <c r="Y356" s="30">
        <f>72+4</f>
        <v>76</v>
      </c>
      <c r="Z356" s="30">
        <f>67+6</f>
        <v>73</v>
      </c>
      <c r="AA356" s="30">
        <f>63+8</f>
        <v>71</v>
      </c>
      <c r="AB356" s="30">
        <f>57+4</f>
        <v>61</v>
      </c>
      <c r="AC356" s="30">
        <f>48+7</f>
        <v>55</v>
      </c>
      <c r="AD356" s="30">
        <f>43+4</f>
        <v>47</v>
      </c>
      <c r="AE356" s="30">
        <f>32+17+5</f>
        <v>54</v>
      </c>
      <c r="AF356" s="30">
        <f>33+12+2</f>
        <v>47</v>
      </c>
      <c r="AG356" s="30">
        <f>31+11</f>
        <v>42</v>
      </c>
      <c r="AH356" s="30">
        <f>34+3</f>
        <v>37</v>
      </c>
      <c r="AI356" s="30">
        <v>34</v>
      </c>
      <c r="AJ356" s="30">
        <f>29+1</f>
        <v>30</v>
      </c>
    </row>
    <row r="357" spans="1:36" ht="89.25" customHeight="1">
      <c r="A357" s="127" t="s">
        <v>8</v>
      </c>
      <c r="B357" s="79"/>
      <c r="C357" s="78" t="s">
        <v>1381</v>
      </c>
      <c r="D357" s="60" t="s">
        <v>1382</v>
      </c>
      <c r="E357" s="76">
        <v>6</v>
      </c>
      <c r="F357" s="77" t="s">
        <v>1383</v>
      </c>
      <c r="G357" s="25"/>
      <c r="H357" s="25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</row>
    <row r="358" spans="1:36" ht="89.25" customHeight="1">
      <c r="A358" s="127" t="s">
        <v>8</v>
      </c>
      <c r="B358" s="79"/>
      <c r="C358" s="78" t="s">
        <v>1378</v>
      </c>
      <c r="D358" s="60" t="s">
        <v>1379</v>
      </c>
      <c r="E358" s="76">
        <v>7</v>
      </c>
      <c r="F358" s="77" t="s">
        <v>1380</v>
      </c>
      <c r="G358" s="25"/>
      <c r="H358" s="25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</row>
    <row r="359" spans="1:36" ht="89.25" customHeight="1">
      <c r="A359" s="127" t="s">
        <v>8</v>
      </c>
      <c r="B359" s="79"/>
      <c r="C359" s="78" t="s">
        <v>1375</v>
      </c>
      <c r="D359" s="60" t="s">
        <v>1376</v>
      </c>
      <c r="E359" s="76">
        <v>8</v>
      </c>
      <c r="F359" s="77" t="s">
        <v>1377</v>
      </c>
      <c r="G359" s="25"/>
      <c r="H359" s="25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</row>
    <row r="360" spans="1:36" ht="89.25" customHeight="1">
      <c r="A360" s="127" t="s">
        <v>8</v>
      </c>
      <c r="B360" s="79"/>
      <c r="C360" s="78" t="s">
        <v>1337</v>
      </c>
      <c r="D360" s="60" t="s">
        <v>1338</v>
      </c>
      <c r="E360" s="76">
        <v>9</v>
      </c>
      <c r="F360" s="77" t="s">
        <v>1339</v>
      </c>
      <c r="G360" s="25"/>
      <c r="H360" s="25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</row>
    <row r="361" spans="1:36" ht="89.25" customHeight="1">
      <c r="A361" s="127" t="s">
        <v>8</v>
      </c>
      <c r="B361" s="79"/>
      <c r="C361" s="78" t="s">
        <v>1330</v>
      </c>
      <c r="D361" s="60" t="s">
        <v>1331</v>
      </c>
      <c r="E361" s="76">
        <v>10</v>
      </c>
      <c r="F361" s="77" t="s">
        <v>1332</v>
      </c>
      <c r="G361" s="25"/>
      <c r="H361" s="25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</row>
    <row r="362" spans="1:36" ht="89.25" customHeight="1">
      <c r="A362" s="127" t="s">
        <v>8</v>
      </c>
      <c r="B362" s="79"/>
      <c r="C362" s="116" t="s">
        <v>1407</v>
      </c>
      <c r="D362" s="60" t="s">
        <v>1333</v>
      </c>
      <c r="E362" s="76">
        <v>11</v>
      </c>
      <c r="F362" s="77" t="s">
        <v>1334</v>
      </c>
      <c r="G362" s="25"/>
      <c r="H362" s="25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</row>
    <row r="363" spans="1:36" ht="89.25" customHeight="1">
      <c r="A363" s="127" t="s">
        <v>8</v>
      </c>
      <c r="B363" s="79"/>
      <c r="C363" s="116" t="s">
        <v>1372</v>
      </c>
      <c r="D363" s="60" t="s">
        <v>1373</v>
      </c>
      <c r="E363" s="76">
        <v>12</v>
      </c>
      <c r="F363" s="77" t="s">
        <v>1374</v>
      </c>
      <c r="G363" s="25"/>
      <c r="H363" s="25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</row>
    <row r="364" spans="1:36" ht="89.25" customHeight="1">
      <c r="A364" s="127" t="s">
        <v>8</v>
      </c>
      <c r="B364" s="86"/>
      <c r="C364" s="75" t="s">
        <v>889</v>
      </c>
      <c r="D364" s="56" t="s">
        <v>897</v>
      </c>
      <c r="E364" s="76">
        <v>6</v>
      </c>
      <c r="F364" s="81" t="s">
        <v>904</v>
      </c>
      <c r="G364" s="25"/>
      <c r="H364" s="25"/>
      <c r="I364" s="30"/>
      <c r="M364" s="30">
        <v>0</v>
      </c>
      <c r="N364" s="30">
        <v>0</v>
      </c>
      <c r="O364" s="30">
        <v>0</v>
      </c>
      <c r="P364" s="30">
        <v>0</v>
      </c>
      <c r="Q364" s="30">
        <v>0</v>
      </c>
      <c r="R364" s="30">
        <v>0</v>
      </c>
      <c r="S364" s="30">
        <v>0</v>
      </c>
      <c r="T364" s="30">
        <f>0+12</f>
        <v>12</v>
      </c>
      <c r="U364" s="30">
        <f>0+12</f>
        <v>12</v>
      </c>
      <c r="V364" s="30">
        <v>12</v>
      </c>
      <c r="W364" s="30">
        <v>11</v>
      </c>
      <c r="X364" s="30">
        <v>11</v>
      </c>
      <c r="Y364" s="30">
        <v>11</v>
      </c>
      <c r="Z364" s="30">
        <v>11</v>
      </c>
      <c r="AA364" s="30">
        <v>11</v>
      </c>
      <c r="AB364" s="30">
        <v>11</v>
      </c>
      <c r="AC364" s="30">
        <v>11</v>
      </c>
      <c r="AD364" s="30">
        <v>11</v>
      </c>
      <c r="AE364" s="30">
        <v>11</v>
      </c>
      <c r="AF364" s="30">
        <v>11</v>
      </c>
      <c r="AG364" s="30">
        <v>11</v>
      </c>
      <c r="AH364" s="30">
        <v>11</v>
      </c>
      <c r="AI364" s="30">
        <v>11</v>
      </c>
      <c r="AJ364" s="30">
        <v>11</v>
      </c>
    </row>
    <row r="365" spans="1:36" s="30" customFormat="1" ht="89.25" customHeight="1">
      <c r="A365" s="127" t="s">
        <v>8</v>
      </c>
      <c r="B365" s="86"/>
      <c r="C365" s="75" t="s">
        <v>962</v>
      </c>
      <c r="D365" s="56" t="s">
        <v>895</v>
      </c>
      <c r="E365" s="76">
        <v>7</v>
      </c>
      <c r="F365" s="81" t="s">
        <v>900</v>
      </c>
      <c r="G365" s="25"/>
      <c r="H365" s="25"/>
      <c r="M365" s="30">
        <v>0</v>
      </c>
      <c r="N365" s="30">
        <v>0</v>
      </c>
      <c r="O365" s="30">
        <v>0</v>
      </c>
      <c r="P365" s="30">
        <v>0</v>
      </c>
      <c r="Q365" s="30">
        <v>0</v>
      </c>
      <c r="R365" s="30">
        <v>0</v>
      </c>
      <c r="S365" s="30">
        <v>0</v>
      </c>
      <c r="T365" s="30">
        <f>0+12</f>
        <v>12</v>
      </c>
      <c r="U365" s="30">
        <f>0+12</f>
        <v>12</v>
      </c>
      <c r="V365" s="30">
        <v>12</v>
      </c>
      <c r="W365" s="30">
        <v>11</v>
      </c>
      <c r="X365" s="30">
        <v>11</v>
      </c>
      <c r="Y365" s="30">
        <v>11</v>
      </c>
      <c r="Z365" s="30">
        <v>11</v>
      </c>
      <c r="AA365" s="30">
        <v>12</v>
      </c>
      <c r="AB365" s="30">
        <v>12</v>
      </c>
      <c r="AC365" s="30">
        <v>12</v>
      </c>
      <c r="AD365" s="30">
        <v>12</v>
      </c>
      <c r="AE365" s="30">
        <f>11</f>
        <v>11</v>
      </c>
      <c r="AF365" s="30">
        <v>11</v>
      </c>
      <c r="AG365" s="30">
        <v>11</v>
      </c>
      <c r="AH365" s="30">
        <v>11</v>
      </c>
      <c r="AI365" s="30">
        <v>11</v>
      </c>
      <c r="AJ365" s="30">
        <v>11</v>
      </c>
    </row>
    <row r="366" spans="1:36" s="30" customFormat="1" ht="89.25" customHeight="1">
      <c r="A366" s="127" t="s">
        <v>8</v>
      </c>
      <c r="B366" s="86"/>
      <c r="C366" s="75" t="s">
        <v>963</v>
      </c>
      <c r="D366" s="56" t="s">
        <v>896</v>
      </c>
      <c r="E366" s="76">
        <v>8</v>
      </c>
      <c r="F366" s="81" t="s">
        <v>903</v>
      </c>
      <c r="G366" s="25"/>
      <c r="H366" s="25"/>
      <c r="M366" s="30">
        <v>0</v>
      </c>
      <c r="N366" s="30">
        <v>0</v>
      </c>
      <c r="O366" s="30">
        <v>0</v>
      </c>
      <c r="P366" s="30">
        <v>0</v>
      </c>
      <c r="Q366" s="30">
        <v>0</v>
      </c>
      <c r="R366" s="30">
        <v>0</v>
      </c>
      <c r="S366" s="30">
        <v>0</v>
      </c>
      <c r="T366" s="30">
        <f>0+12</f>
        <v>12</v>
      </c>
      <c r="U366" s="30">
        <f>0+12</f>
        <v>12</v>
      </c>
      <c r="V366" s="30">
        <v>12</v>
      </c>
      <c r="W366" s="30">
        <v>10</v>
      </c>
      <c r="X366" s="30">
        <v>10</v>
      </c>
      <c r="Y366" s="30">
        <v>10</v>
      </c>
      <c r="Z366" s="30">
        <v>10</v>
      </c>
      <c r="AA366" s="30">
        <f>9+1</f>
        <v>10</v>
      </c>
      <c r="AB366" s="30">
        <v>8</v>
      </c>
      <c r="AC366" s="30">
        <v>8</v>
      </c>
      <c r="AD366" s="30">
        <v>8</v>
      </c>
      <c r="AE366" s="30">
        <v>8</v>
      </c>
      <c r="AF366" s="30">
        <v>8</v>
      </c>
      <c r="AG366" s="30">
        <v>8</v>
      </c>
      <c r="AH366" s="30">
        <v>8</v>
      </c>
      <c r="AI366" s="30">
        <v>8</v>
      </c>
      <c r="AJ366" s="30">
        <v>8</v>
      </c>
    </row>
    <row r="367" spans="1:36" s="30" customFormat="1" ht="80.099999999999994" customHeight="1">
      <c r="A367" s="127" t="s">
        <v>8</v>
      </c>
      <c r="B367" s="86"/>
      <c r="C367" s="75" t="s">
        <v>964</v>
      </c>
      <c r="D367" s="56" t="s">
        <v>894</v>
      </c>
      <c r="E367" s="76">
        <v>9</v>
      </c>
      <c r="F367" s="81" t="s">
        <v>899</v>
      </c>
      <c r="G367" s="25"/>
      <c r="H367" s="25"/>
      <c r="M367" s="30">
        <v>0</v>
      </c>
      <c r="N367" s="30">
        <v>0</v>
      </c>
      <c r="O367" s="30">
        <v>0</v>
      </c>
      <c r="P367" s="30">
        <v>0</v>
      </c>
      <c r="Q367" s="30">
        <v>0</v>
      </c>
      <c r="R367" s="30">
        <v>0</v>
      </c>
      <c r="S367" s="30">
        <v>0</v>
      </c>
      <c r="T367" s="30">
        <f>0+12</f>
        <v>12</v>
      </c>
      <c r="U367" s="30">
        <f>0+12</f>
        <v>12</v>
      </c>
      <c r="V367" s="30">
        <v>12</v>
      </c>
      <c r="W367" s="30">
        <v>12</v>
      </c>
      <c r="X367" s="30">
        <v>12</v>
      </c>
      <c r="Y367" s="30">
        <v>11</v>
      </c>
      <c r="Z367" s="30">
        <v>11</v>
      </c>
      <c r="AA367" s="30">
        <v>10</v>
      </c>
      <c r="AB367" s="30">
        <v>10</v>
      </c>
      <c r="AC367" s="30">
        <v>10</v>
      </c>
      <c r="AD367" s="30">
        <v>10</v>
      </c>
      <c r="AE367" s="30">
        <v>10</v>
      </c>
      <c r="AF367" s="30">
        <v>10</v>
      </c>
      <c r="AG367" s="30">
        <v>9</v>
      </c>
      <c r="AH367" s="30">
        <v>7</v>
      </c>
      <c r="AI367" s="30">
        <v>7</v>
      </c>
      <c r="AJ367" s="30">
        <v>7</v>
      </c>
    </row>
    <row r="368" spans="1:36" s="30" customFormat="1" ht="80.099999999999994" customHeight="1">
      <c r="A368" s="127" t="s">
        <v>8</v>
      </c>
      <c r="B368" s="86"/>
      <c r="C368" s="75" t="s">
        <v>885</v>
      </c>
      <c r="D368" s="56" t="s">
        <v>892</v>
      </c>
      <c r="E368" s="76">
        <v>6</v>
      </c>
      <c r="F368" s="81" t="s">
        <v>902</v>
      </c>
      <c r="G368" s="25"/>
      <c r="H368" s="25"/>
      <c r="M368" s="30">
        <v>0</v>
      </c>
      <c r="N368" s="30">
        <v>12</v>
      </c>
      <c r="O368" s="30">
        <v>12</v>
      </c>
      <c r="P368" s="30">
        <v>12</v>
      </c>
      <c r="Q368" s="30">
        <v>12</v>
      </c>
      <c r="R368" s="30">
        <f>0+12</f>
        <v>12</v>
      </c>
      <c r="S368" s="30">
        <v>12</v>
      </c>
      <c r="T368" s="30">
        <v>12</v>
      </c>
      <c r="U368" s="30">
        <f>0+12</f>
        <v>12</v>
      </c>
      <c r="V368" s="30">
        <v>11</v>
      </c>
      <c r="W368" s="30">
        <v>11</v>
      </c>
      <c r="X368" s="30">
        <v>11</v>
      </c>
      <c r="Y368" s="30">
        <v>11</v>
      </c>
      <c r="Z368" s="30">
        <v>11</v>
      </c>
      <c r="AA368" s="30">
        <v>11</v>
      </c>
      <c r="AB368" s="30">
        <v>11</v>
      </c>
      <c r="AC368" s="30">
        <v>11</v>
      </c>
      <c r="AD368" s="30">
        <v>11</v>
      </c>
      <c r="AE368" s="30">
        <v>11</v>
      </c>
      <c r="AF368" s="30">
        <v>11</v>
      </c>
      <c r="AG368" s="30">
        <v>11</v>
      </c>
      <c r="AH368" s="30">
        <v>11</v>
      </c>
      <c r="AI368" s="30">
        <v>11</v>
      </c>
      <c r="AJ368" s="30">
        <v>11</v>
      </c>
    </row>
    <row r="369" spans="1:36" s="30" customFormat="1" ht="80.099999999999994" customHeight="1">
      <c r="A369" s="127" t="s">
        <v>8</v>
      </c>
      <c r="B369" s="86"/>
      <c r="C369" s="75" t="s">
        <v>886</v>
      </c>
      <c r="D369" s="56" t="s">
        <v>890</v>
      </c>
      <c r="E369" s="76">
        <v>7</v>
      </c>
      <c r="F369" s="81" t="s">
        <v>898</v>
      </c>
      <c r="G369" s="25"/>
      <c r="H369" s="25"/>
      <c r="M369" s="30">
        <v>0</v>
      </c>
      <c r="N369" s="30">
        <v>12</v>
      </c>
      <c r="O369" s="30">
        <v>12</v>
      </c>
      <c r="P369" s="30">
        <v>12</v>
      </c>
      <c r="Q369" s="30">
        <v>12</v>
      </c>
      <c r="R369" s="30">
        <f>0+12</f>
        <v>12</v>
      </c>
      <c r="S369" s="30">
        <v>12</v>
      </c>
      <c r="T369" s="30">
        <v>12</v>
      </c>
      <c r="U369" s="30">
        <f>0+12</f>
        <v>12</v>
      </c>
      <c r="V369" s="30">
        <v>12</v>
      </c>
      <c r="W369" s="30">
        <v>10</v>
      </c>
      <c r="X369" s="30">
        <v>10</v>
      </c>
      <c r="Y369" s="30">
        <v>10</v>
      </c>
      <c r="Z369" s="30">
        <v>10</v>
      </c>
      <c r="AA369" s="30">
        <v>10</v>
      </c>
      <c r="AB369" s="30">
        <v>10</v>
      </c>
      <c r="AC369" s="30">
        <v>10</v>
      </c>
      <c r="AD369" s="30">
        <v>10</v>
      </c>
      <c r="AE369" s="30">
        <f>9</f>
        <v>9</v>
      </c>
      <c r="AF369" s="30">
        <v>9</v>
      </c>
      <c r="AG369" s="30">
        <v>9</v>
      </c>
      <c r="AH369" s="30">
        <v>9</v>
      </c>
      <c r="AI369" s="30">
        <v>9</v>
      </c>
      <c r="AJ369" s="30">
        <v>9</v>
      </c>
    </row>
    <row r="370" spans="1:36" s="30" customFormat="1" ht="80.099999999999994" customHeight="1">
      <c r="A370" s="127" t="s">
        <v>8</v>
      </c>
      <c r="B370" s="86"/>
      <c r="C370" s="75" t="s">
        <v>887</v>
      </c>
      <c r="D370" s="56" t="s">
        <v>891</v>
      </c>
      <c r="E370" s="76">
        <v>8</v>
      </c>
      <c r="F370" s="81" t="s">
        <v>901</v>
      </c>
      <c r="G370" s="25"/>
      <c r="H370" s="25"/>
      <c r="M370" s="30">
        <v>0</v>
      </c>
      <c r="N370" s="30">
        <v>12</v>
      </c>
      <c r="O370" s="30">
        <v>12</v>
      </c>
      <c r="P370" s="30">
        <v>12</v>
      </c>
      <c r="Q370" s="30">
        <v>12</v>
      </c>
      <c r="R370" s="30">
        <f>0+12</f>
        <v>12</v>
      </c>
      <c r="S370" s="30">
        <v>12</v>
      </c>
      <c r="T370" s="30">
        <v>12</v>
      </c>
      <c r="U370" s="30">
        <f>0+12</f>
        <v>12</v>
      </c>
      <c r="V370" s="30">
        <v>12</v>
      </c>
      <c r="W370" s="30">
        <v>11</v>
      </c>
      <c r="X370" s="30">
        <v>12</v>
      </c>
      <c r="Y370" s="30">
        <v>12</v>
      </c>
      <c r="Z370" s="30">
        <v>12</v>
      </c>
      <c r="AA370" s="30">
        <v>12</v>
      </c>
      <c r="AB370" s="30">
        <v>12</v>
      </c>
      <c r="AC370" s="30">
        <v>12</v>
      </c>
      <c r="AD370" s="30">
        <v>12</v>
      </c>
      <c r="AE370" s="30">
        <v>12</v>
      </c>
      <c r="AF370" s="30">
        <v>12</v>
      </c>
      <c r="AG370" s="30">
        <v>12</v>
      </c>
      <c r="AH370" s="30">
        <v>12</v>
      </c>
      <c r="AI370" s="30">
        <v>12</v>
      </c>
      <c r="AJ370" s="30">
        <v>12</v>
      </c>
    </row>
    <row r="371" spans="1:36" s="30" customFormat="1" ht="80.099999999999994" customHeight="1">
      <c r="A371" s="127" t="s">
        <v>8</v>
      </c>
      <c r="B371" s="86"/>
      <c r="C371" s="75" t="s">
        <v>888</v>
      </c>
      <c r="D371" s="56" t="s">
        <v>893</v>
      </c>
      <c r="E371" s="76">
        <v>9</v>
      </c>
      <c r="F371" s="81" t="s">
        <v>905</v>
      </c>
      <c r="G371" s="25"/>
      <c r="H371" s="25"/>
      <c r="M371" s="30">
        <v>0</v>
      </c>
      <c r="N371" s="30">
        <v>12</v>
      </c>
      <c r="O371" s="30">
        <v>12</v>
      </c>
      <c r="P371" s="30">
        <v>12</v>
      </c>
      <c r="Q371" s="30">
        <v>12</v>
      </c>
      <c r="R371" s="30">
        <f>0+12</f>
        <v>12</v>
      </c>
      <c r="S371" s="30">
        <v>12</v>
      </c>
      <c r="T371" s="30">
        <v>12</v>
      </c>
      <c r="U371" s="30">
        <f>0+12</f>
        <v>12</v>
      </c>
      <c r="V371" s="30">
        <v>12</v>
      </c>
      <c r="W371" s="30">
        <v>12</v>
      </c>
      <c r="X371" s="30">
        <v>12</v>
      </c>
      <c r="Y371" s="30">
        <v>12</v>
      </c>
      <c r="Z371" s="30">
        <v>12</v>
      </c>
      <c r="AA371" s="30">
        <v>12</v>
      </c>
      <c r="AB371" s="30">
        <v>12</v>
      </c>
      <c r="AC371" s="30">
        <v>12</v>
      </c>
      <c r="AD371" s="30">
        <v>12</v>
      </c>
      <c r="AE371" s="30">
        <v>12</v>
      </c>
      <c r="AF371" s="30">
        <v>12</v>
      </c>
      <c r="AG371" s="30">
        <v>12</v>
      </c>
      <c r="AH371" s="30">
        <v>12</v>
      </c>
      <c r="AI371" s="30">
        <v>12</v>
      </c>
      <c r="AJ371" s="30">
        <v>12</v>
      </c>
    </row>
    <row r="372" spans="1:36" s="30" customFormat="1" ht="80.099999999999994" customHeight="1">
      <c r="A372" s="127" t="s">
        <v>8</v>
      </c>
      <c r="B372" s="79"/>
      <c r="C372" s="78" t="s">
        <v>1249</v>
      </c>
      <c r="D372" s="60" t="s">
        <v>1254</v>
      </c>
      <c r="E372" s="76">
        <v>6</v>
      </c>
      <c r="F372" s="77" t="s">
        <v>1255</v>
      </c>
      <c r="G372" s="25"/>
      <c r="H372" s="25"/>
      <c r="I372" s="23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>
        <f>0+5</f>
        <v>5</v>
      </c>
    </row>
    <row r="373" spans="1:36" s="30" customFormat="1" ht="80.099999999999994" customHeight="1">
      <c r="A373" s="127" t="s">
        <v>8</v>
      </c>
      <c r="B373" s="79"/>
      <c r="C373" s="78" t="s">
        <v>1253</v>
      </c>
      <c r="D373" s="60" t="s">
        <v>1256</v>
      </c>
      <c r="E373" s="76">
        <v>7</v>
      </c>
      <c r="F373" s="77" t="s">
        <v>1257</v>
      </c>
      <c r="G373" s="25"/>
      <c r="H373" s="25"/>
      <c r="I373" s="23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>
        <f>0+5</f>
        <v>5</v>
      </c>
    </row>
    <row r="374" spans="1:36" s="30" customFormat="1" ht="80.099999999999994" customHeight="1">
      <c r="A374" s="127" t="s">
        <v>8</v>
      </c>
      <c r="B374" s="79"/>
      <c r="C374" s="78" t="s">
        <v>1250</v>
      </c>
      <c r="D374" s="60" t="s">
        <v>1258</v>
      </c>
      <c r="E374" s="76">
        <v>8</v>
      </c>
      <c r="F374" s="77" t="s">
        <v>1259</v>
      </c>
      <c r="G374" s="25"/>
      <c r="H374" s="25"/>
      <c r="I374" s="23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>
        <f>0+5</f>
        <v>5</v>
      </c>
    </row>
    <row r="375" spans="1:36" s="30" customFormat="1" ht="80.099999999999994" customHeight="1">
      <c r="A375" s="127" t="s">
        <v>8</v>
      </c>
      <c r="B375" s="79"/>
      <c r="C375" s="78" t="s">
        <v>1251</v>
      </c>
      <c r="D375" s="60" t="s">
        <v>1260</v>
      </c>
      <c r="E375" s="76">
        <v>9</v>
      </c>
      <c r="F375" s="77" t="s">
        <v>1261</v>
      </c>
      <c r="G375" s="25"/>
      <c r="H375" s="25"/>
      <c r="I375" s="23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>
        <f>0+5</f>
        <v>5</v>
      </c>
    </row>
    <row r="376" spans="1:36" s="30" customFormat="1" ht="80.099999999999994" customHeight="1">
      <c r="A376" s="127" t="s">
        <v>8</v>
      </c>
      <c r="B376" s="79"/>
      <c r="C376" s="78" t="s">
        <v>1252</v>
      </c>
      <c r="D376" s="60" t="s">
        <v>1262</v>
      </c>
      <c r="E376" s="76">
        <v>10</v>
      </c>
      <c r="F376" s="77" t="s">
        <v>1263</v>
      </c>
      <c r="G376" s="25"/>
      <c r="H376" s="25"/>
      <c r="I376" s="23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>
        <f>0+5</f>
        <v>5</v>
      </c>
    </row>
    <row r="377" spans="1:36" s="30" customFormat="1" ht="80.099999999999994" customHeight="1">
      <c r="A377" s="127" t="s">
        <v>8</v>
      </c>
      <c r="B377" s="79"/>
      <c r="C377" s="116" t="s">
        <v>1237</v>
      </c>
      <c r="D377" s="60" t="s">
        <v>1238</v>
      </c>
      <c r="E377" s="76">
        <v>6</v>
      </c>
      <c r="F377" s="77" t="s">
        <v>1239</v>
      </c>
      <c r="G377" s="25"/>
      <c r="H377" s="25"/>
      <c r="I377" s="23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>
        <f>0+5</f>
        <v>5</v>
      </c>
    </row>
    <row r="378" spans="1:36" s="30" customFormat="1" ht="80.099999999999994" customHeight="1">
      <c r="A378" s="127" t="s">
        <v>8</v>
      </c>
      <c r="B378" s="79"/>
      <c r="C378" s="78" t="s">
        <v>1240</v>
      </c>
      <c r="D378" s="60" t="s">
        <v>1241</v>
      </c>
      <c r="E378" s="76">
        <v>7</v>
      </c>
      <c r="F378" s="77" t="s">
        <v>1242</v>
      </c>
      <c r="G378" s="25"/>
      <c r="H378" s="25"/>
      <c r="I378" s="23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>
        <f>0+5</f>
        <v>5</v>
      </c>
    </row>
    <row r="379" spans="1:36" s="30" customFormat="1" ht="80.099999999999994" customHeight="1">
      <c r="A379" s="127" t="s">
        <v>8</v>
      </c>
      <c r="B379" s="79"/>
      <c r="C379" s="78" t="s">
        <v>1243</v>
      </c>
      <c r="D379" s="60" t="s">
        <v>1244</v>
      </c>
      <c r="E379" s="76">
        <v>8</v>
      </c>
      <c r="F379" s="77" t="s">
        <v>1245</v>
      </c>
      <c r="G379" s="25"/>
      <c r="H379" s="25"/>
      <c r="I379" s="23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>
        <f>0+5</f>
        <v>5</v>
      </c>
    </row>
    <row r="380" spans="1:36" s="30" customFormat="1" ht="80.099999999999994" customHeight="1">
      <c r="A380" s="127" t="s">
        <v>8</v>
      </c>
      <c r="B380" s="79"/>
      <c r="C380" s="78" t="s">
        <v>1247</v>
      </c>
      <c r="D380" s="60" t="s">
        <v>1246</v>
      </c>
      <c r="E380" s="76">
        <v>9</v>
      </c>
      <c r="F380" s="77" t="s">
        <v>1248</v>
      </c>
      <c r="G380" s="25"/>
      <c r="H380" s="25"/>
      <c r="I380" s="23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>
        <f>0+5</f>
        <v>5</v>
      </c>
    </row>
    <row r="381" spans="1:36" s="30" customFormat="1" ht="80.099999999999994" customHeight="1">
      <c r="A381" s="127" t="s">
        <v>8</v>
      </c>
      <c r="B381" s="79"/>
      <c r="C381" s="78" t="s">
        <v>1341</v>
      </c>
      <c r="D381" s="60" t="s">
        <v>1342</v>
      </c>
      <c r="E381" s="76" t="s">
        <v>1428</v>
      </c>
      <c r="F381" s="77" t="s">
        <v>1343</v>
      </c>
      <c r="G381" s="25"/>
      <c r="H381" s="25"/>
      <c r="I381" s="23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</row>
    <row r="382" spans="1:36" s="30" customFormat="1" ht="81" customHeight="1">
      <c r="A382" s="127" t="s">
        <v>8</v>
      </c>
      <c r="B382" s="79"/>
      <c r="C382" s="78" t="s">
        <v>1353</v>
      </c>
      <c r="D382" s="60" t="s">
        <v>1354</v>
      </c>
      <c r="E382" s="76" t="s">
        <v>1429</v>
      </c>
      <c r="F382" s="77" t="s">
        <v>1355</v>
      </c>
      <c r="G382" s="25"/>
      <c r="H382" s="25"/>
      <c r="I382" s="23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</row>
    <row r="383" spans="1:36" s="30" customFormat="1" ht="80.25" customHeight="1">
      <c r="A383" s="127" t="s">
        <v>8</v>
      </c>
      <c r="B383" s="79"/>
      <c r="C383" s="78" t="s">
        <v>1360</v>
      </c>
      <c r="D383" s="60" t="s">
        <v>1361</v>
      </c>
      <c r="E383" s="76">
        <v>6</v>
      </c>
      <c r="F383" s="77" t="s">
        <v>1362</v>
      </c>
      <c r="G383" s="25"/>
      <c r="H383" s="25"/>
      <c r="I383" s="23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</row>
    <row r="384" spans="1:36" s="30" customFormat="1" ht="80.25" customHeight="1">
      <c r="A384" s="127" t="s">
        <v>8</v>
      </c>
      <c r="B384" s="79"/>
      <c r="C384" s="78" t="s">
        <v>1344</v>
      </c>
      <c r="D384" s="60" t="s">
        <v>1345</v>
      </c>
      <c r="E384" s="76" t="s">
        <v>1430</v>
      </c>
      <c r="F384" s="77" t="s">
        <v>1346</v>
      </c>
      <c r="G384" s="25"/>
      <c r="H384" s="25"/>
      <c r="I384" s="23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</row>
    <row r="385" spans="1:36" s="30" customFormat="1" ht="80.25" customHeight="1">
      <c r="A385" s="127" t="s">
        <v>8</v>
      </c>
      <c r="B385" s="79"/>
      <c r="C385" s="78" t="s">
        <v>1366</v>
      </c>
      <c r="D385" s="60" t="s">
        <v>1367</v>
      </c>
      <c r="E385" s="76" t="s">
        <v>1431</v>
      </c>
      <c r="F385" s="77" t="s">
        <v>1368</v>
      </c>
      <c r="G385" s="25"/>
      <c r="H385" s="25"/>
      <c r="I385" s="23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</row>
    <row r="386" spans="1:36" s="30" customFormat="1" ht="80.25" customHeight="1">
      <c r="A386" s="127" t="s">
        <v>8</v>
      </c>
      <c r="B386" s="79"/>
      <c r="C386" s="78" t="s">
        <v>1388</v>
      </c>
      <c r="D386" s="60" t="s">
        <v>1387</v>
      </c>
      <c r="E386" s="76">
        <v>7</v>
      </c>
      <c r="F386" s="77" t="s">
        <v>1389</v>
      </c>
      <c r="G386" s="25"/>
      <c r="H386" s="25"/>
      <c r="I386" s="23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</row>
    <row r="387" spans="1:36" ht="78" customHeight="1">
      <c r="A387" s="127" t="s">
        <v>8</v>
      </c>
      <c r="B387" s="79"/>
      <c r="C387" s="78" t="s">
        <v>1309</v>
      </c>
      <c r="D387" s="60" t="s">
        <v>1310</v>
      </c>
      <c r="E387" s="76" t="s">
        <v>1432</v>
      </c>
      <c r="F387" s="77" t="s">
        <v>1311</v>
      </c>
      <c r="G387" s="25"/>
      <c r="H387" s="25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</row>
    <row r="388" spans="1:36" ht="79.5" customHeight="1">
      <c r="A388" s="127" t="s">
        <v>8</v>
      </c>
      <c r="B388" s="79"/>
      <c r="C388" s="78" t="s">
        <v>1369</v>
      </c>
      <c r="D388" s="60" t="s">
        <v>1370</v>
      </c>
      <c r="E388" s="76" t="s">
        <v>1433</v>
      </c>
      <c r="F388" s="77" t="s">
        <v>1371</v>
      </c>
      <c r="G388" s="25"/>
      <c r="H388" s="25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</row>
    <row r="389" spans="1:36" ht="78" customHeight="1">
      <c r="A389" s="127" t="s">
        <v>8</v>
      </c>
      <c r="B389" s="79"/>
      <c r="C389" s="78" t="s">
        <v>1335</v>
      </c>
      <c r="D389" s="60" t="s">
        <v>1336</v>
      </c>
      <c r="E389" s="76">
        <v>8</v>
      </c>
      <c r="F389" s="77" t="s">
        <v>1340</v>
      </c>
      <c r="G389" s="25"/>
      <c r="H389" s="25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</row>
    <row r="390" spans="1:36" ht="78" customHeight="1">
      <c r="A390" s="127" t="s">
        <v>8</v>
      </c>
      <c r="B390" s="79"/>
      <c r="C390" s="78" t="s">
        <v>1327</v>
      </c>
      <c r="D390" s="60" t="s">
        <v>1328</v>
      </c>
      <c r="E390" s="76" t="s">
        <v>1434</v>
      </c>
      <c r="F390" s="77" t="s">
        <v>1329</v>
      </c>
      <c r="G390" s="25"/>
      <c r="H390" s="25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</row>
    <row r="391" spans="1:36" ht="78" customHeight="1">
      <c r="A391" s="127" t="s">
        <v>8</v>
      </c>
      <c r="B391" s="79"/>
      <c r="C391" s="78" t="s">
        <v>1324</v>
      </c>
      <c r="D391" s="60" t="s">
        <v>1325</v>
      </c>
      <c r="E391" s="76" t="s">
        <v>1435</v>
      </c>
      <c r="F391" s="77" t="s">
        <v>1326</v>
      </c>
      <c r="G391" s="25"/>
      <c r="H391" s="25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</row>
    <row r="392" spans="1:36" ht="78" customHeight="1">
      <c r="A392" s="127" t="s">
        <v>8</v>
      </c>
      <c r="B392" s="79"/>
      <c r="C392" s="78" t="s">
        <v>1322</v>
      </c>
      <c r="D392" s="60" t="s">
        <v>1321</v>
      </c>
      <c r="E392" s="76">
        <v>9</v>
      </c>
      <c r="F392" s="77" t="s">
        <v>1323</v>
      </c>
      <c r="G392" s="25"/>
      <c r="H392" s="25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</row>
    <row r="393" spans="1:36" ht="78" customHeight="1">
      <c r="A393" s="125" t="s">
        <v>1418</v>
      </c>
      <c r="B393" s="79"/>
      <c r="C393" s="78" t="s">
        <v>1315</v>
      </c>
      <c r="D393" s="60" t="s">
        <v>1316</v>
      </c>
      <c r="E393" s="76"/>
      <c r="F393" s="77" t="s">
        <v>1317</v>
      </c>
      <c r="G393" s="25"/>
      <c r="H393" s="25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</row>
    <row r="394" spans="1:36" ht="78" customHeight="1">
      <c r="A394" s="127" t="s">
        <v>1441</v>
      </c>
      <c r="B394" s="86" t="s">
        <v>1054</v>
      </c>
      <c r="C394" s="75" t="s">
        <v>856</v>
      </c>
      <c r="D394" s="56" t="s">
        <v>863</v>
      </c>
      <c r="E394" s="76"/>
      <c r="F394" s="81" t="s">
        <v>873</v>
      </c>
      <c r="G394" s="25"/>
      <c r="H394" s="25"/>
      <c r="I394" s="30"/>
      <c r="J394" s="30">
        <v>2</v>
      </c>
      <c r="K394" s="30">
        <v>2</v>
      </c>
      <c r="L394" s="30">
        <v>2</v>
      </c>
      <c r="M394" s="30">
        <v>2</v>
      </c>
      <c r="N394" s="30">
        <v>2</v>
      </c>
      <c r="O394" s="30">
        <v>2</v>
      </c>
      <c r="P394" s="30">
        <v>2</v>
      </c>
      <c r="Q394" s="30">
        <v>2</v>
      </c>
      <c r="R394" s="30">
        <v>2</v>
      </c>
      <c r="S394" s="30">
        <v>2</v>
      </c>
      <c r="T394" s="30">
        <v>2</v>
      </c>
      <c r="U394" s="30">
        <v>1</v>
      </c>
      <c r="V394" s="30">
        <v>0</v>
      </c>
      <c r="W394" s="30">
        <v>0</v>
      </c>
      <c r="X394" s="30">
        <v>0</v>
      </c>
      <c r="Y394" s="30">
        <v>0</v>
      </c>
      <c r="Z394" s="30">
        <v>0</v>
      </c>
      <c r="AA394" s="30">
        <v>0</v>
      </c>
      <c r="AB394" s="30">
        <v>0</v>
      </c>
      <c r="AC394" s="30">
        <v>0</v>
      </c>
      <c r="AD394" s="30">
        <v>0</v>
      </c>
      <c r="AE394" s="30">
        <v>0</v>
      </c>
      <c r="AF394" s="30">
        <v>0</v>
      </c>
      <c r="AG394" s="30">
        <f>0+5</f>
        <v>5</v>
      </c>
      <c r="AH394" s="30">
        <v>5</v>
      </c>
      <c r="AI394" s="30">
        <v>5</v>
      </c>
      <c r="AJ394" s="30">
        <v>5</v>
      </c>
    </row>
    <row r="395" spans="1:36" ht="78" customHeight="1">
      <c r="A395" s="127" t="s">
        <v>1441</v>
      </c>
      <c r="B395" s="86" t="s">
        <v>1054</v>
      </c>
      <c r="C395" s="75" t="s">
        <v>857</v>
      </c>
      <c r="D395" s="56" t="s">
        <v>864</v>
      </c>
      <c r="E395" s="76"/>
      <c r="F395" s="81" t="s">
        <v>875</v>
      </c>
      <c r="G395" s="25"/>
      <c r="H395" s="25"/>
      <c r="I395" s="30"/>
      <c r="J395" s="30">
        <v>5</v>
      </c>
      <c r="K395" s="30">
        <v>5</v>
      </c>
      <c r="L395" s="30">
        <v>5</v>
      </c>
      <c r="M395" s="30">
        <v>5</v>
      </c>
      <c r="N395" s="30">
        <v>5</v>
      </c>
      <c r="O395" s="30">
        <v>5</v>
      </c>
      <c r="P395" s="30">
        <v>5</v>
      </c>
      <c r="Q395" s="30">
        <v>5</v>
      </c>
      <c r="R395" s="30">
        <v>5</v>
      </c>
      <c r="S395" s="30">
        <v>5</v>
      </c>
      <c r="T395" s="30">
        <v>5</v>
      </c>
      <c r="U395" s="30">
        <v>5</v>
      </c>
      <c r="V395" s="30">
        <v>5</v>
      </c>
      <c r="W395" s="30">
        <v>5</v>
      </c>
      <c r="X395" s="30">
        <v>5</v>
      </c>
      <c r="Y395" s="30">
        <v>5</v>
      </c>
      <c r="Z395" s="30">
        <v>5</v>
      </c>
      <c r="AA395" s="30">
        <v>5</v>
      </c>
      <c r="AB395" s="30">
        <v>5</v>
      </c>
      <c r="AC395" s="30">
        <v>5</v>
      </c>
      <c r="AD395" s="30">
        <v>5</v>
      </c>
      <c r="AE395" s="30">
        <v>5</v>
      </c>
      <c r="AF395" s="30">
        <v>5</v>
      </c>
      <c r="AG395" s="30">
        <v>5</v>
      </c>
      <c r="AH395" s="30">
        <v>5</v>
      </c>
      <c r="AI395" s="30">
        <v>5</v>
      </c>
      <c r="AJ395" s="30">
        <v>5</v>
      </c>
    </row>
    <row r="396" spans="1:36" ht="78" customHeight="1">
      <c r="A396" s="127" t="s">
        <v>1441</v>
      </c>
      <c r="B396" s="86" t="s">
        <v>1054</v>
      </c>
      <c r="C396" s="75" t="s">
        <v>858</v>
      </c>
      <c r="D396" s="56" t="s">
        <v>865</v>
      </c>
      <c r="E396" s="76"/>
      <c r="F396" s="81" t="s">
        <v>876</v>
      </c>
      <c r="G396" s="25"/>
      <c r="H396" s="25"/>
      <c r="I396" s="30"/>
      <c r="J396" s="30">
        <v>5</v>
      </c>
      <c r="K396" s="30">
        <v>5</v>
      </c>
      <c r="L396" s="30">
        <v>5</v>
      </c>
      <c r="M396" s="30">
        <v>5</v>
      </c>
      <c r="N396" s="30">
        <v>5</v>
      </c>
      <c r="O396" s="30">
        <v>5</v>
      </c>
      <c r="P396" s="30">
        <v>5</v>
      </c>
      <c r="Q396" s="30">
        <v>5</v>
      </c>
      <c r="R396" s="30">
        <v>5</v>
      </c>
      <c r="S396" s="30">
        <v>5</v>
      </c>
      <c r="T396" s="30">
        <v>5</v>
      </c>
      <c r="U396" s="30">
        <v>5</v>
      </c>
      <c r="V396" s="30">
        <v>5</v>
      </c>
      <c r="W396" s="30">
        <v>5</v>
      </c>
      <c r="X396" s="30">
        <v>5</v>
      </c>
      <c r="Y396" s="30">
        <v>5</v>
      </c>
      <c r="Z396" s="30">
        <v>5</v>
      </c>
      <c r="AA396" s="30">
        <v>5</v>
      </c>
      <c r="AB396" s="30">
        <v>5</v>
      </c>
      <c r="AC396" s="30">
        <v>5</v>
      </c>
      <c r="AD396" s="30">
        <v>5</v>
      </c>
      <c r="AE396" s="30">
        <v>5</v>
      </c>
      <c r="AF396" s="30">
        <v>5</v>
      </c>
      <c r="AG396" s="30">
        <v>5</v>
      </c>
      <c r="AH396" s="30">
        <v>5</v>
      </c>
      <c r="AI396" s="30">
        <v>5</v>
      </c>
      <c r="AJ396" s="30">
        <v>5</v>
      </c>
    </row>
    <row r="397" spans="1:36" ht="78" customHeight="1">
      <c r="A397" s="127" t="s">
        <v>1441</v>
      </c>
      <c r="B397" s="86" t="s">
        <v>1054</v>
      </c>
      <c r="C397" s="75" t="s">
        <v>859</v>
      </c>
      <c r="D397" s="56" t="s">
        <v>866</v>
      </c>
      <c r="E397" s="76"/>
      <c r="F397" s="81" t="s">
        <v>871</v>
      </c>
      <c r="G397" s="25"/>
      <c r="H397" s="25"/>
      <c r="I397" s="30"/>
      <c r="J397" s="30">
        <v>5</v>
      </c>
      <c r="K397" s="30">
        <v>5</v>
      </c>
      <c r="L397" s="30">
        <v>5</v>
      </c>
      <c r="M397" s="30">
        <v>5</v>
      </c>
      <c r="N397" s="30">
        <v>5</v>
      </c>
      <c r="O397" s="30">
        <v>5</v>
      </c>
      <c r="P397" s="30">
        <v>5</v>
      </c>
      <c r="Q397" s="30">
        <v>5</v>
      </c>
      <c r="R397" s="30">
        <v>5</v>
      </c>
      <c r="S397" s="30">
        <v>5</v>
      </c>
      <c r="T397" s="30">
        <v>5</v>
      </c>
      <c r="U397" s="30">
        <v>5</v>
      </c>
      <c r="V397" s="30">
        <v>5</v>
      </c>
      <c r="W397" s="30">
        <v>5</v>
      </c>
      <c r="X397" s="30">
        <v>5</v>
      </c>
      <c r="Y397" s="30">
        <v>5</v>
      </c>
      <c r="Z397" s="30">
        <v>5</v>
      </c>
      <c r="AA397" s="30">
        <v>5</v>
      </c>
      <c r="AB397" s="30">
        <v>5</v>
      </c>
      <c r="AC397" s="30">
        <v>5</v>
      </c>
      <c r="AD397" s="30">
        <v>5</v>
      </c>
      <c r="AE397" s="30">
        <v>5</v>
      </c>
      <c r="AF397" s="30">
        <v>5</v>
      </c>
      <c r="AG397" s="30">
        <v>5</v>
      </c>
      <c r="AH397" s="30">
        <v>5</v>
      </c>
      <c r="AI397" s="30">
        <v>5</v>
      </c>
      <c r="AJ397" s="30">
        <v>5</v>
      </c>
    </row>
    <row r="398" spans="1:36" ht="78" customHeight="1">
      <c r="A398" s="127" t="s">
        <v>1441</v>
      </c>
      <c r="B398" s="86" t="s">
        <v>1054</v>
      </c>
      <c r="C398" s="75" t="s">
        <v>860</v>
      </c>
      <c r="D398" s="56" t="s">
        <v>867</v>
      </c>
      <c r="E398" s="76"/>
      <c r="F398" s="81" t="s">
        <v>874</v>
      </c>
      <c r="G398" s="25"/>
      <c r="H398" s="25"/>
      <c r="I398" s="30"/>
      <c r="J398" s="30">
        <v>4</v>
      </c>
      <c r="K398" s="30">
        <v>4</v>
      </c>
      <c r="L398" s="30">
        <v>4</v>
      </c>
      <c r="M398" s="30">
        <v>4</v>
      </c>
      <c r="N398" s="30">
        <v>4</v>
      </c>
      <c r="O398" s="30">
        <v>4</v>
      </c>
      <c r="P398" s="30">
        <v>4</v>
      </c>
      <c r="Q398" s="30">
        <v>4</v>
      </c>
      <c r="R398" s="30">
        <v>4</v>
      </c>
      <c r="S398" s="30">
        <v>4</v>
      </c>
      <c r="T398" s="30">
        <v>4</v>
      </c>
      <c r="U398" s="30">
        <v>4</v>
      </c>
      <c r="V398" s="30">
        <v>4</v>
      </c>
      <c r="W398" s="30">
        <v>4</v>
      </c>
      <c r="X398" s="30">
        <v>4</v>
      </c>
      <c r="Y398" s="30">
        <v>4</v>
      </c>
      <c r="Z398" s="30">
        <v>4</v>
      </c>
      <c r="AA398" s="30">
        <v>4</v>
      </c>
      <c r="AB398" s="30">
        <v>4</v>
      </c>
      <c r="AC398" s="30">
        <v>4</v>
      </c>
      <c r="AD398" s="30">
        <v>4</v>
      </c>
      <c r="AE398" s="30">
        <v>4</v>
      </c>
      <c r="AF398" s="30">
        <v>4</v>
      </c>
      <c r="AG398" s="30">
        <v>4</v>
      </c>
      <c r="AH398" s="30">
        <v>4</v>
      </c>
      <c r="AI398" s="30">
        <v>4</v>
      </c>
      <c r="AJ398" s="30">
        <v>4</v>
      </c>
    </row>
    <row r="399" spans="1:36" ht="78" customHeight="1">
      <c r="A399" s="127" t="s">
        <v>1441</v>
      </c>
      <c r="B399" s="86" t="s">
        <v>1054</v>
      </c>
      <c r="C399" s="75" t="s">
        <v>861</v>
      </c>
      <c r="D399" s="56" t="s">
        <v>868</v>
      </c>
      <c r="E399" s="76"/>
      <c r="F399" s="81" t="s">
        <v>870</v>
      </c>
      <c r="G399" s="25"/>
      <c r="H399" s="25"/>
      <c r="I399" s="30"/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0">
        <v>0</v>
      </c>
      <c r="Q399" s="30">
        <v>0</v>
      </c>
      <c r="R399" s="30">
        <v>0</v>
      </c>
      <c r="S399" s="30">
        <v>0</v>
      </c>
      <c r="T399" s="30">
        <v>0</v>
      </c>
      <c r="U399" s="30">
        <v>0</v>
      </c>
      <c r="V399" s="30">
        <v>0</v>
      </c>
      <c r="W399" s="30">
        <v>0</v>
      </c>
      <c r="X399" s="30">
        <v>0</v>
      </c>
      <c r="Y399" s="30">
        <v>0</v>
      </c>
      <c r="Z399" s="30">
        <v>0</v>
      </c>
      <c r="AA399" s="30">
        <v>0</v>
      </c>
      <c r="AB399" s="30">
        <v>0</v>
      </c>
      <c r="AC399" s="30">
        <v>0</v>
      </c>
      <c r="AD399" s="30">
        <v>0</v>
      </c>
      <c r="AE399" s="30">
        <v>0</v>
      </c>
      <c r="AF399" s="30">
        <v>0</v>
      </c>
      <c r="AG399" s="30">
        <v>0</v>
      </c>
      <c r="AH399" s="30">
        <v>0</v>
      </c>
      <c r="AI399" s="30">
        <v>0</v>
      </c>
      <c r="AJ399" s="30">
        <v>0</v>
      </c>
    </row>
    <row r="400" spans="1:36" ht="78" customHeight="1">
      <c r="A400" s="127" t="s">
        <v>1441</v>
      </c>
      <c r="B400" s="86" t="s">
        <v>1054</v>
      </c>
      <c r="C400" s="75" t="s">
        <v>862</v>
      </c>
      <c r="D400" s="56" t="s">
        <v>869</v>
      </c>
      <c r="E400" s="76"/>
      <c r="F400" s="81" t="s">
        <v>872</v>
      </c>
      <c r="G400" s="25"/>
      <c r="H400" s="25"/>
      <c r="I400" s="30"/>
      <c r="J400" s="30">
        <v>2</v>
      </c>
      <c r="K400" s="30">
        <v>2</v>
      </c>
      <c r="L400" s="30">
        <v>2</v>
      </c>
      <c r="M400" s="30">
        <v>2</v>
      </c>
      <c r="N400" s="30">
        <v>2</v>
      </c>
      <c r="O400" s="30">
        <v>2</v>
      </c>
      <c r="P400" s="30">
        <v>2</v>
      </c>
      <c r="Q400" s="30">
        <v>2</v>
      </c>
      <c r="R400" s="30">
        <v>2</v>
      </c>
      <c r="S400" s="30">
        <v>2</v>
      </c>
      <c r="T400" s="30">
        <v>2</v>
      </c>
      <c r="U400" s="30">
        <v>2</v>
      </c>
      <c r="V400" s="30">
        <v>2</v>
      </c>
      <c r="W400" s="30">
        <v>2</v>
      </c>
      <c r="X400" s="30">
        <v>2</v>
      </c>
      <c r="Y400" s="30">
        <v>2</v>
      </c>
      <c r="Z400" s="30">
        <v>2</v>
      </c>
      <c r="AA400" s="30">
        <v>1</v>
      </c>
      <c r="AB400" s="30">
        <v>1</v>
      </c>
      <c r="AC400" s="30">
        <v>2</v>
      </c>
      <c r="AD400" s="30">
        <v>2</v>
      </c>
      <c r="AE400" s="30">
        <v>2</v>
      </c>
      <c r="AF400" s="30">
        <v>2</v>
      </c>
      <c r="AG400" s="30">
        <f>2+5</f>
        <v>7</v>
      </c>
      <c r="AH400" s="30">
        <f>2+5</f>
        <v>7</v>
      </c>
      <c r="AI400" s="30">
        <f>2+5</f>
        <v>7</v>
      </c>
      <c r="AJ400" s="30">
        <f>3+4</f>
        <v>7</v>
      </c>
    </row>
    <row r="401" spans="1:36" ht="78" customHeight="1">
      <c r="A401" s="122" t="s">
        <v>1418</v>
      </c>
      <c r="B401" s="80" t="s">
        <v>1102</v>
      </c>
      <c r="C401" s="117" t="s">
        <v>1093</v>
      </c>
      <c r="D401" s="56" t="s">
        <v>1107</v>
      </c>
      <c r="E401" s="80"/>
      <c r="F401" s="81" t="s">
        <v>1120</v>
      </c>
      <c r="G401" s="23"/>
      <c r="H401" s="23"/>
      <c r="AI401" s="30">
        <v>0</v>
      </c>
      <c r="AJ401" s="30">
        <f>0+6</f>
        <v>6</v>
      </c>
    </row>
    <row r="402" spans="1:36" ht="78" customHeight="1">
      <c r="A402" s="122" t="s">
        <v>1418</v>
      </c>
      <c r="B402" s="80" t="s">
        <v>1102</v>
      </c>
      <c r="C402" s="117" t="s">
        <v>1094</v>
      </c>
      <c r="D402" s="56" t="s">
        <v>1108</v>
      </c>
      <c r="E402" s="80"/>
      <c r="F402" s="81" t="s">
        <v>1117</v>
      </c>
      <c r="G402" s="23"/>
      <c r="H402" s="23"/>
      <c r="AI402" s="30">
        <v>0</v>
      </c>
      <c r="AJ402" s="30">
        <f>0+3</f>
        <v>3</v>
      </c>
    </row>
    <row r="403" spans="1:36" ht="80.25" customHeight="1">
      <c r="A403" s="122" t="s">
        <v>1418</v>
      </c>
      <c r="B403" s="80" t="s">
        <v>1102</v>
      </c>
      <c r="C403" s="117" t="s">
        <v>1095</v>
      </c>
      <c r="D403" s="56" t="s">
        <v>1111</v>
      </c>
      <c r="E403" s="80"/>
      <c r="F403" s="81" t="s">
        <v>1114</v>
      </c>
      <c r="G403" s="23"/>
      <c r="H403" s="23"/>
      <c r="AI403" s="30">
        <v>0</v>
      </c>
      <c r="AJ403" s="30">
        <f>0+3</f>
        <v>3</v>
      </c>
    </row>
    <row r="404" spans="1:36" ht="80.25" customHeight="1">
      <c r="A404" s="122" t="s">
        <v>1418</v>
      </c>
      <c r="B404" s="80" t="s">
        <v>1103</v>
      </c>
      <c r="C404" s="117" t="s">
        <v>1096</v>
      </c>
      <c r="D404" s="56" t="s">
        <v>1109</v>
      </c>
      <c r="E404" s="80"/>
      <c r="F404" s="81" t="s">
        <v>1116</v>
      </c>
      <c r="G404" s="23"/>
      <c r="H404" s="23"/>
      <c r="AI404" s="30">
        <v>0</v>
      </c>
      <c r="AJ404" s="30">
        <f>0+7</f>
        <v>7</v>
      </c>
    </row>
    <row r="405" spans="1:36" ht="80.25" customHeight="1">
      <c r="A405" s="122" t="s">
        <v>1418</v>
      </c>
      <c r="B405" s="80" t="s">
        <v>1103</v>
      </c>
      <c r="C405" s="117" t="s">
        <v>1097</v>
      </c>
      <c r="D405" s="56" t="s">
        <v>1106</v>
      </c>
      <c r="E405" s="80"/>
      <c r="F405" s="81" t="s">
        <v>1122</v>
      </c>
      <c r="G405" s="23"/>
      <c r="H405" s="23"/>
      <c r="AI405" s="30">
        <v>0</v>
      </c>
      <c r="AJ405" s="30">
        <f>0+5</f>
        <v>5</v>
      </c>
    </row>
    <row r="406" spans="1:36" ht="80.25" customHeight="1">
      <c r="A406" s="122" t="s">
        <v>1418</v>
      </c>
      <c r="B406" s="80" t="s">
        <v>1103</v>
      </c>
      <c r="C406" s="117" t="s">
        <v>1098</v>
      </c>
      <c r="D406" s="56" t="s">
        <v>1112</v>
      </c>
      <c r="E406" s="80"/>
      <c r="F406" s="81" t="s">
        <v>1121</v>
      </c>
      <c r="G406" s="23"/>
      <c r="H406" s="23"/>
      <c r="AI406" s="30">
        <v>0</v>
      </c>
      <c r="AJ406" s="30">
        <f>0+5</f>
        <v>5</v>
      </c>
    </row>
    <row r="407" spans="1:36" ht="80.25" customHeight="1">
      <c r="A407" s="122" t="s">
        <v>1418</v>
      </c>
      <c r="B407" s="80" t="s">
        <v>1104</v>
      </c>
      <c r="C407" s="117" t="s">
        <v>1099</v>
      </c>
      <c r="D407" s="56" t="s">
        <v>1113</v>
      </c>
      <c r="E407" s="80"/>
      <c r="F407" s="81" t="s">
        <v>1115</v>
      </c>
      <c r="G407" s="23"/>
      <c r="H407" s="23"/>
      <c r="AI407" s="30">
        <v>0</v>
      </c>
      <c r="AJ407" s="30">
        <f>0+6</f>
        <v>6</v>
      </c>
    </row>
    <row r="408" spans="1:36" ht="80.25" customHeight="1">
      <c r="A408" s="122" t="s">
        <v>1418</v>
      </c>
      <c r="B408" s="80" t="s">
        <v>1104</v>
      </c>
      <c r="C408" s="117" t="s">
        <v>1100</v>
      </c>
      <c r="D408" s="56" t="s">
        <v>1105</v>
      </c>
      <c r="E408" s="80"/>
      <c r="F408" s="81" t="s">
        <v>1119</v>
      </c>
      <c r="G408" s="23"/>
      <c r="H408" s="23"/>
      <c r="AI408" s="30">
        <v>0</v>
      </c>
      <c r="AJ408" s="30">
        <f>0+6</f>
        <v>6</v>
      </c>
    </row>
    <row r="409" spans="1:36" ht="80.25" customHeight="1">
      <c r="A409" s="122" t="s">
        <v>1418</v>
      </c>
      <c r="B409" s="80" t="s">
        <v>1104</v>
      </c>
      <c r="C409" s="117" t="s">
        <v>1101</v>
      </c>
      <c r="D409" s="56" t="s">
        <v>1110</v>
      </c>
      <c r="E409" s="80"/>
      <c r="F409" s="81" t="s">
        <v>1118</v>
      </c>
      <c r="G409" s="23"/>
      <c r="H409" s="23"/>
      <c r="AI409" s="30">
        <v>0</v>
      </c>
      <c r="AJ409" s="30">
        <f>0+6</f>
        <v>6</v>
      </c>
    </row>
    <row r="410" spans="1:36" ht="80.25" customHeight="1">
      <c r="A410" s="122" t="s">
        <v>1418</v>
      </c>
      <c r="B410" s="74"/>
      <c r="C410" s="75" t="s">
        <v>1147</v>
      </c>
      <c r="D410" s="56" t="s">
        <v>1146</v>
      </c>
      <c r="E410" s="80"/>
      <c r="F410" s="81" t="s">
        <v>1188</v>
      </c>
      <c r="G410" s="23"/>
      <c r="H410" s="25"/>
      <c r="I410" s="49"/>
      <c r="AI410" s="30">
        <v>0</v>
      </c>
      <c r="AJ410" s="30">
        <f>0+10</f>
        <v>10</v>
      </c>
    </row>
    <row r="411" spans="1:36" ht="80.25" customHeight="1">
      <c r="A411" s="122" t="s">
        <v>1418</v>
      </c>
      <c r="B411" s="74"/>
      <c r="C411" s="75" t="s">
        <v>1149</v>
      </c>
      <c r="D411" s="56" t="s">
        <v>1148</v>
      </c>
      <c r="E411" s="80"/>
      <c r="F411" s="81" t="s">
        <v>1189</v>
      </c>
      <c r="G411" s="23"/>
      <c r="H411" s="25"/>
      <c r="I411" s="49"/>
      <c r="AI411" s="30">
        <v>0</v>
      </c>
      <c r="AJ411" s="30">
        <f>0+10</f>
        <v>10</v>
      </c>
    </row>
    <row r="412" spans="1:36" ht="80.25" customHeight="1">
      <c r="A412" s="125" t="s">
        <v>1404</v>
      </c>
      <c r="B412" s="79"/>
      <c r="C412" s="78" t="s">
        <v>1319</v>
      </c>
      <c r="D412" s="60" t="s">
        <v>1318</v>
      </c>
      <c r="E412" s="76"/>
      <c r="F412" s="77" t="s">
        <v>1320</v>
      </c>
      <c r="G412" s="25"/>
      <c r="H412" s="25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</row>
    <row r="413" spans="1:36" ht="80.25" customHeight="1" thickBot="1">
      <c r="A413" s="125" t="s">
        <v>1404</v>
      </c>
      <c r="B413" s="79"/>
      <c r="C413" s="78" t="s">
        <v>1312</v>
      </c>
      <c r="D413" s="60" t="s">
        <v>1313</v>
      </c>
      <c r="E413" s="76"/>
      <c r="F413" s="77" t="s">
        <v>1314</v>
      </c>
      <c r="G413" s="25"/>
      <c r="H413" s="25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</row>
    <row r="414" spans="1:36" ht="80.25" customHeight="1">
      <c r="A414" s="127" t="s">
        <v>1441</v>
      </c>
      <c r="B414" s="86" t="s">
        <v>1068</v>
      </c>
      <c r="C414" s="100" t="s">
        <v>767</v>
      </c>
      <c r="D414" s="118" t="s">
        <v>516</v>
      </c>
      <c r="E414" s="119"/>
      <c r="F414" s="77" t="s">
        <v>768</v>
      </c>
      <c r="G414" s="25"/>
      <c r="H414" s="25"/>
      <c r="J414" s="30">
        <v>2</v>
      </c>
      <c r="K414" s="30">
        <f>0+1</f>
        <v>1</v>
      </c>
      <c r="L414" s="30">
        <v>0</v>
      </c>
      <c r="M414" s="30">
        <v>0</v>
      </c>
      <c r="N414" s="30">
        <v>0</v>
      </c>
      <c r="O414" s="30">
        <v>0</v>
      </c>
      <c r="P414" s="30">
        <v>0</v>
      </c>
      <c r="Q414" s="30">
        <v>0</v>
      </c>
      <c r="R414" s="30">
        <v>0</v>
      </c>
      <c r="S414" s="30">
        <f>0+10</f>
        <v>10</v>
      </c>
      <c r="T414" s="30">
        <f>0+10</f>
        <v>10</v>
      </c>
      <c r="U414" s="30">
        <f>8+2</f>
        <v>10</v>
      </c>
      <c r="V414" s="30">
        <v>10</v>
      </c>
      <c r="W414" s="30">
        <v>9</v>
      </c>
      <c r="X414" s="30">
        <v>9</v>
      </c>
      <c r="Y414" s="30">
        <v>9</v>
      </c>
      <c r="Z414" s="30">
        <v>9</v>
      </c>
      <c r="AA414" s="30">
        <v>9</v>
      </c>
      <c r="AB414" s="30">
        <v>9</v>
      </c>
      <c r="AC414" s="30">
        <v>8</v>
      </c>
      <c r="AD414" s="30">
        <v>8</v>
      </c>
      <c r="AE414" s="30">
        <v>8</v>
      </c>
      <c r="AF414" s="30">
        <v>8</v>
      </c>
      <c r="AG414" s="30">
        <v>8</v>
      </c>
      <c r="AH414" s="30">
        <v>8</v>
      </c>
      <c r="AI414" s="30">
        <v>8</v>
      </c>
      <c r="AJ414" s="30">
        <v>8</v>
      </c>
    </row>
    <row r="415" spans="1:36" ht="80.25" customHeight="1">
      <c r="A415" s="127" t="s">
        <v>1406</v>
      </c>
      <c r="B415" s="86"/>
      <c r="C415" s="84" t="s">
        <v>770</v>
      </c>
      <c r="D415" s="58" t="s">
        <v>769</v>
      </c>
      <c r="E415" s="93"/>
      <c r="F415" s="77" t="s">
        <v>771</v>
      </c>
      <c r="G415" s="25"/>
      <c r="H415" s="25"/>
      <c r="J415" s="30">
        <v>5</v>
      </c>
      <c r="K415" s="30">
        <v>5</v>
      </c>
      <c r="L415" s="30">
        <v>5</v>
      </c>
      <c r="M415" s="30">
        <v>5</v>
      </c>
      <c r="N415" s="30">
        <v>5</v>
      </c>
      <c r="O415" s="30">
        <v>5</v>
      </c>
      <c r="P415" s="30">
        <v>5</v>
      </c>
      <c r="Q415" s="30">
        <v>5</v>
      </c>
      <c r="R415" s="30">
        <v>5</v>
      </c>
      <c r="S415" s="30">
        <v>5</v>
      </c>
      <c r="T415" s="30">
        <v>5</v>
      </c>
      <c r="U415" s="30">
        <v>5</v>
      </c>
      <c r="V415" s="30">
        <v>5</v>
      </c>
      <c r="W415" s="30">
        <v>5</v>
      </c>
      <c r="X415" s="30">
        <v>5</v>
      </c>
      <c r="Y415" s="30">
        <v>5</v>
      </c>
      <c r="Z415" s="30">
        <v>5</v>
      </c>
      <c r="AA415" s="30">
        <v>5</v>
      </c>
      <c r="AB415" s="30">
        <v>5</v>
      </c>
      <c r="AC415" s="30">
        <v>5</v>
      </c>
      <c r="AD415" s="30">
        <v>0</v>
      </c>
      <c r="AE415" s="30">
        <v>0</v>
      </c>
      <c r="AF415" s="30">
        <v>0</v>
      </c>
      <c r="AG415" s="30">
        <v>0</v>
      </c>
      <c r="AH415" s="30">
        <v>0</v>
      </c>
      <c r="AI415" s="30">
        <v>0</v>
      </c>
      <c r="AJ415" s="30">
        <f>0+5</f>
        <v>5</v>
      </c>
    </row>
    <row r="416" spans="1:36" ht="80.25" customHeight="1">
      <c r="A416" s="122" t="s">
        <v>17</v>
      </c>
      <c r="B416" s="74" t="s">
        <v>1419</v>
      </c>
      <c r="C416" s="75" t="s">
        <v>965</v>
      </c>
      <c r="D416" s="58" t="s">
        <v>772</v>
      </c>
      <c r="E416" s="76"/>
      <c r="F416" s="77" t="s">
        <v>773</v>
      </c>
      <c r="G416" s="27" t="s">
        <v>129</v>
      </c>
      <c r="H416" s="27"/>
      <c r="J416" s="30">
        <v>4</v>
      </c>
      <c r="K416" s="30">
        <v>4</v>
      </c>
      <c r="L416" s="30">
        <v>4</v>
      </c>
      <c r="M416" s="30">
        <v>4</v>
      </c>
      <c r="N416" s="30">
        <v>3</v>
      </c>
      <c r="O416" s="30">
        <v>3</v>
      </c>
      <c r="P416" s="30">
        <f>2+1</f>
        <v>3</v>
      </c>
      <c r="Q416" s="30">
        <v>2</v>
      </c>
      <c r="R416" s="30">
        <v>2</v>
      </c>
      <c r="S416" s="30">
        <v>2</v>
      </c>
      <c r="T416" s="30">
        <f>2+5</f>
        <v>7</v>
      </c>
      <c r="U416" s="30">
        <f>2+5</f>
        <v>7</v>
      </c>
      <c r="V416" s="30">
        <v>7</v>
      </c>
      <c r="W416" s="30">
        <v>7</v>
      </c>
      <c r="X416" s="30">
        <v>7</v>
      </c>
      <c r="Y416" s="30">
        <v>7</v>
      </c>
      <c r="Z416" s="30">
        <v>7</v>
      </c>
      <c r="AA416" s="30">
        <v>5</v>
      </c>
      <c r="AB416" s="30">
        <f>3+1</f>
        <v>4</v>
      </c>
      <c r="AC416" s="30">
        <v>3</v>
      </c>
      <c r="AD416" s="30">
        <f>3+5</f>
        <v>8</v>
      </c>
      <c r="AE416" s="30">
        <f>2+5</f>
        <v>7</v>
      </c>
      <c r="AF416" s="30">
        <v>7</v>
      </c>
      <c r="AG416" s="30">
        <v>7</v>
      </c>
      <c r="AH416" s="30">
        <v>7</v>
      </c>
      <c r="AI416" s="30">
        <v>7</v>
      </c>
      <c r="AJ416" s="30">
        <v>7</v>
      </c>
    </row>
    <row r="417" spans="1:36" ht="78" customHeight="1">
      <c r="A417" s="122" t="s">
        <v>8</v>
      </c>
      <c r="B417" s="74" t="s">
        <v>1063</v>
      </c>
      <c r="C417" s="78" t="s">
        <v>966</v>
      </c>
      <c r="D417" s="58" t="s">
        <v>774</v>
      </c>
      <c r="E417" s="76">
        <v>7</v>
      </c>
      <c r="F417" s="77" t="s">
        <v>775</v>
      </c>
      <c r="G417" s="25"/>
      <c r="H417" s="25"/>
      <c r="J417" s="30">
        <f>8+1</f>
        <v>9</v>
      </c>
      <c r="K417" s="30">
        <v>9</v>
      </c>
      <c r="L417" s="30">
        <v>9</v>
      </c>
      <c r="M417" s="30">
        <v>9</v>
      </c>
      <c r="N417" s="30">
        <f>6+1</f>
        <v>7</v>
      </c>
      <c r="O417" s="30">
        <v>6</v>
      </c>
      <c r="P417" s="30">
        <v>6</v>
      </c>
      <c r="Q417" s="30">
        <v>6</v>
      </c>
      <c r="R417" s="30">
        <v>5</v>
      </c>
      <c r="S417" s="30">
        <f>4+1</f>
        <v>5</v>
      </c>
      <c r="T417" s="30">
        <f>4+5</f>
        <v>9</v>
      </c>
      <c r="U417" s="30">
        <f>4+5+1</f>
        <v>10</v>
      </c>
      <c r="V417" s="30">
        <v>8</v>
      </c>
      <c r="W417" s="30">
        <f>6+1</f>
        <v>7</v>
      </c>
      <c r="X417" s="30">
        <f>4+1</f>
        <v>5</v>
      </c>
      <c r="Y417" s="30">
        <f>5+1</f>
        <v>6</v>
      </c>
      <c r="Z417" s="30">
        <f>5+1</f>
        <v>6</v>
      </c>
      <c r="AA417" s="30">
        <f>3+1</f>
        <v>4</v>
      </c>
      <c r="AB417" s="30">
        <v>4</v>
      </c>
      <c r="AC417" s="30">
        <f>3+1</f>
        <v>4</v>
      </c>
      <c r="AD417" s="30">
        <f>3+5</f>
        <v>8</v>
      </c>
      <c r="AE417" s="30">
        <f>3+5</f>
        <v>8</v>
      </c>
      <c r="AF417" s="30">
        <f>8</f>
        <v>8</v>
      </c>
      <c r="AG417" s="30">
        <v>7</v>
      </c>
      <c r="AH417" s="30">
        <f>4+1</f>
        <v>5</v>
      </c>
      <c r="AI417" s="30">
        <f>2+1</f>
        <v>3</v>
      </c>
      <c r="AJ417" s="30">
        <v>3</v>
      </c>
    </row>
    <row r="418" spans="1:36" ht="78" customHeight="1">
      <c r="A418" s="131" t="s">
        <v>1406</v>
      </c>
      <c r="B418" s="101"/>
      <c r="C418" s="84" t="s">
        <v>777</v>
      </c>
      <c r="D418" s="64" t="s">
        <v>776</v>
      </c>
      <c r="E418" s="85"/>
      <c r="F418" s="77" t="s">
        <v>778</v>
      </c>
      <c r="G418" s="29"/>
      <c r="H418" s="29"/>
      <c r="J418" s="30">
        <v>58</v>
      </c>
      <c r="K418" s="30">
        <v>57</v>
      </c>
      <c r="L418" s="30">
        <f>56+1</f>
        <v>57</v>
      </c>
      <c r="M418" s="30">
        <f>50+3</f>
        <v>53</v>
      </c>
      <c r="N418" s="30">
        <v>52</v>
      </c>
      <c r="O418" s="30">
        <f>49+1</f>
        <v>50</v>
      </c>
      <c r="P418" s="30">
        <v>49</v>
      </c>
      <c r="Q418" s="30">
        <v>49</v>
      </c>
      <c r="R418" s="30">
        <f>47+2</f>
        <v>49</v>
      </c>
      <c r="S418" s="30">
        <f>46+0</f>
        <v>46</v>
      </c>
      <c r="T418" s="30">
        <v>45</v>
      </c>
      <c r="U418" s="30">
        <v>45</v>
      </c>
      <c r="V418" s="30">
        <v>40</v>
      </c>
      <c r="W418" s="30">
        <v>38</v>
      </c>
      <c r="X418" s="30">
        <v>38</v>
      </c>
      <c r="Y418" s="30">
        <f>37+0</f>
        <v>37</v>
      </c>
      <c r="Z418" s="30">
        <f>37</f>
        <v>37</v>
      </c>
      <c r="AA418" s="30">
        <f>36+1</f>
        <v>37</v>
      </c>
      <c r="AB418" s="30">
        <v>36</v>
      </c>
      <c r="AC418" s="30">
        <v>36</v>
      </c>
      <c r="AD418" s="30">
        <v>35</v>
      </c>
      <c r="AE418" s="30">
        <v>34</v>
      </c>
      <c r="AF418" s="30">
        <v>32</v>
      </c>
      <c r="AG418" s="30">
        <v>31</v>
      </c>
      <c r="AH418" s="30">
        <v>31</v>
      </c>
      <c r="AI418" s="30">
        <v>31</v>
      </c>
      <c r="AJ418" s="30">
        <v>31</v>
      </c>
    </row>
    <row r="419" spans="1:36" ht="80.25" customHeight="1">
      <c r="A419" s="122" t="s">
        <v>8</v>
      </c>
      <c r="B419" s="74" t="s">
        <v>1070</v>
      </c>
      <c r="C419" s="78" t="s">
        <v>780</v>
      </c>
      <c r="D419" s="58" t="s">
        <v>779</v>
      </c>
      <c r="E419" s="76">
        <v>9</v>
      </c>
      <c r="F419" s="77" t="s">
        <v>781</v>
      </c>
      <c r="G419" s="25"/>
      <c r="H419" s="25"/>
      <c r="J419" s="30">
        <v>6</v>
      </c>
      <c r="K419" s="30">
        <v>6</v>
      </c>
      <c r="L419" s="30">
        <v>6</v>
      </c>
      <c r="M419" s="30">
        <v>6</v>
      </c>
      <c r="N419" s="30">
        <v>6</v>
      </c>
      <c r="O419" s="30">
        <v>6</v>
      </c>
      <c r="P419" s="30">
        <v>6</v>
      </c>
      <c r="Q419" s="30">
        <v>6</v>
      </c>
      <c r="R419" s="30">
        <v>6</v>
      </c>
      <c r="S419" s="30">
        <v>6</v>
      </c>
      <c r="T419" s="30">
        <v>6</v>
      </c>
      <c r="U419" s="30">
        <v>6</v>
      </c>
      <c r="V419" s="30">
        <v>6</v>
      </c>
      <c r="W419" s="30">
        <v>6</v>
      </c>
      <c r="X419" s="30">
        <v>6</v>
      </c>
      <c r="Y419" s="30">
        <v>6</v>
      </c>
      <c r="Z419" s="30">
        <v>6</v>
      </c>
      <c r="AA419" s="30">
        <v>6</v>
      </c>
      <c r="AB419" s="30">
        <v>6</v>
      </c>
      <c r="AC419" s="30">
        <v>6</v>
      </c>
      <c r="AD419" s="30">
        <v>6</v>
      </c>
      <c r="AE419" s="30">
        <v>6</v>
      </c>
      <c r="AF419" s="30">
        <v>6</v>
      </c>
      <c r="AG419" s="30">
        <v>6</v>
      </c>
      <c r="AH419" s="30">
        <v>6</v>
      </c>
      <c r="AI419" s="30">
        <v>6</v>
      </c>
      <c r="AJ419" s="30">
        <f>4+1</f>
        <v>5</v>
      </c>
    </row>
    <row r="420" spans="1:36" ht="80.25" customHeight="1">
      <c r="A420" s="122" t="s">
        <v>3</v>
      </c>
      <c r="B420" s="74"/>
      <c r="C420" s="75" t="s">
        <v>783</v>
      </c>
      <c r="D420" s="58" t="s">
        <v>782</v>
      </c>
      <c r="E420" s="76"/>
      <c r="F420" s="77" t="s">
        <v>784</v>
      </c>
      <c r="G420" s="25"/>
      <c r="H420" s="25"/>
      <c r="J420" s="30">
        <v>3</v>
      </c>
      <c r="K420" s="30">
        <v>3</v>
      </c>
      <c r="L420" s="30">
        <v>3</v>
      </c>
      <c r="M420" s="30">
        <v>3</v>
      </c>
      <c r="N420" s="30">
        <v>3</v>
      </c>
      <c r="O420" s="30">
        <v>3</v>
      </c>
      <c r="P420" s="30">
        <v>3</v>
      </c>
      <c r="Q420" s="30">
        <v>3</v>
      </c>
      <c r="R420" s="30">
        <v>3</v>
      </c>
      <c r="S420" s="30">
        <v>3</v>
      </c>
      <c r="T420" s="30">
        <v>3</v>
      </c>
      <c r="U420" s="30">
        <v>3</v>
      </c>
      <c r="V420" s="30">
        <v>3</v>
      </c>
      <c r="W420" s="30">
        <f>1+1</f>
        <v>2</v>
      </c>
      <c r="X420" s="30">
        <v>2</v>
      </c>
      <c r="Y420" s="30">
        <v>2</v>
      </c>
      <c r="Z420" s="30">
        <v>2</v>
      </c>
      <c r="AA420" s="30">
        <v>2</v>
      </c>
      <c r="AB420" s="30">
        <v>2</v>
      </c>
      <c r="AC420" s="30">
        <v>2</v>
      </c>
      <c r="AD420" s="30">
        <v>2</v>
      </c>
      <c r="AE420" s="30">
        <v>2</v>
      </c>
      <c r="AF420" s="30">
        <v>2</v>
      </c>
      <c r="AG420" s="30">
        <v>2</v>
      </c>
      <c r="AH420" s="30">
        <v>2</v>
      </c>
      <c r="AI420" s="30">
        <v>2</v>
      </c>
      <c r="AJ420" s="30">
        <v>2</v>
      </c>
    </row>
    <row r="421" spans="1:36" ht="80.25" customHeight="1">
      <c r="A421" s="127" t="s">
        <v>1404</v>
      </c>
      <c r="B421" s="86"/>
      <c r="C421" s="78" t="s">
        <v>967</v>
      </c>
      <c r="D421" s="58" t="s">
        <v>785</v>
      </c>
      <c r="E421" s="76"/>
      <c r="F421" s="77" t="s">
        <v>786</v>
      </c>
      <c r="G421" s="25"/>
      <c r="H421" s="25"/>
      <c r="J421" s="30">
        <v>11</v>
      </c>
      <c r="K421" s="30">
        <v>11</v>
      </c>
      <c r="L421" s="30">
        <f>10</f>
        <v>10</v>
      </c>
      <c r="M421" s="30">
        <f>8+2</f>
        <v>10</v>
      </c>
      <c r="N421" s="30">
        <v>8</v>
      </c>
      <c r="O421" s="30">
        <v>6</v>
      </c>
      <c r="P421" s="30">
        <v>6</v>
      </c>
      <c r="Q421" s="30">
        <f>4</f>
        <v>4</v>
      </c>
      <c r="R421" s="30">
        <v>3</v>
      </c>
      <c r="S421" s="30">
        <v>3</v>
      </c>
      <c r="T421" s="30">
        <f>0+20+1</f>
        <v>21</v>
      </c>
      <c r="U421" s="30">
        <f>0+20</f>
        <v>20</v>
      </c>
      <c r="V421" s="30">
        <v>20</v>
      </c>
      <c r="W421" s="30">
        <f>16+0</f>
        <v>16</v>
      </c>
      <c r="X421" s="30">
        <v>16</v>
      </c>
      <c r="Y421" s="30">
        <v>15</v>
      </c>
      <c r="Z421" s="30">
        <v>14</v>
      </c>
      <c r="AA421" s="30">
        <v>13</v>
      </c>
      <c r="AB421" s="30">
        <v>12</v>
      </c>
      <c r="AC421" s="30">
        <v>10</v>
      </c>
      <c r="AD421" s="30">
        <v>10</v>
      </c>
      <c r="AE421" s="30">
        <v>8</v>
      </c>
      <c r="AF421" s="30">
        <v>8</v>
      </c>
      <c r="AG421" s="30">
        <f>6+1</f>
        <v>7</v>
      </c>
      <c r="AH421" s="30">
        <f>4+2</f>
        <v>6</v>
      </c>
      <c r="AI421" s="30">
        <f>3+1</f>
        <v>4</v>
      </c>
      <c r="AJ421" s="30">
        <f>4+3+1</f>
        <v>8</v>
      </c>
    </row>
    <row r="422" spans="1:36" ht="80.25" customHeight="1">
      <c r="A422" s="127" t="s">
        <v>280</v>
      </c>
      <c r="B422" s="86"/>
      <c r="C422" s="78" t="s">
        <v>788</v>
      </c>
      <c r="D422" s="115" t="s">
        <v>787</v>
      </c>
      <c r="E422" s="76"/>
      <c r="F422" s="77" t="s">
        <v>789</v>
      </c>
      <c r="G422" s="25"/>
      <c r="H422" s="25"/>
      <c r="J422" s="30">
        <v>55</v>
      </c>
      <c r="K422" s="30">
        <v>54</v>
      </c>
      <c r="L422" s="30">
        <v>54</v>
      </c>
      <c r="M422" s="30">
        <f>52+1</f>
        <v>53</v>
      </c>
      <c r="N422" s="30">
        <f>51+1</f>
        <v>52</v>
      </c>
      <c r="O422" s="30">
        <f>49+1</f>
        <v>50</v>
      </c>
      <c r="P422" s="30">
        <v>49</v>
      </c>
      <c r="Q422" s="30">
        <f>48+1</f>
        <v>49</v>
      </c>
      <c r="R422" s="30">
        <v>46</v>
      </c>
      <c r="S422" s="30">
        <v>46</v>
      </c>
      <c r="T422" s="30">
        <v>45</v>
      </c>
      <c r="U422" s="30">
        <v>44</v>
      </c>
      <c r="V422" s="30">
        <v>44</v>
      </c>
      <c r="W422" s="30">
        <f>38+1</f>
        <v>39</v>
      </c>
      <c r="X422" s="30">
        <v>37</v>
      </c>
      <c r="Y422" s="30">
        <f>34+3</f>
        <v>37</v>
      </c>
      <c r="Z422" s="30">
        <v>35</v>
      </c>
      <c r="AA422" s="30">
        <f>30+2</f>
        <v>32</v>
      </c>
      <c r="AB422" s="30">
        <v>29</v>
      </c>
      <c r="AC422" s="30">
        <v>25</v>
      </c>
      <c r="AD422" s="30">
        <f>21+2</f>
        <v>23</v>
      </c>
      <c r="AE422" s="30">
        <f>20+2</f>
        <v>22</v>
      </c>
      <c r="AF422" s="30">
        <f>18+2</f>
        <v>20</v>
      </c>
      <c r="AG422" s="30">
        <f>17+1</f>
        <v>18</v>
      </c>
      <c r="AH422" s="30">
        <f>15+1</f>
        <v>16</v>
      </c>
      <c r="AI422" s="30">
        <v>15</v>
      </c>
      <c r="AJ422" s="30">
        <v>14</v>
      </c>
    </row>
    <row r="423" spans="1:36" ht="80.25" customHeight="1">
      <c r="A423" s="131" t="s">
        <v>8</v>
      </c>
      <c r="B423" s="101" t="s">
        <v>1054</v>
      </c>
      <c r="C423" s="78" t="s">
        <v>791</v>
      </c>
      <c r="D423" s="58" t="s">
        <v>790</v>
      </c>
      <c r="E423" s="92">
        <v>6</v>
      </c>
      <c r="F423" s="77" t="s">
        <v>792</v>
      </c>
      <c r="G423" s="29"/>
      <c r="H423" s="29"/>
      <c r="J423" s="30">
        <v>8</v>
      </c>
      <c r="K423" s="30">
        <v>8</v>
      </c>
      <c r="L423" s="30">
        <v>8</v>
      </c>
      <c r="M423" s="30">
        <v>7</v>
      </c>
      <c r="N423" s="30">
        <v>6</v>
      </c>
      <c r="O423" s="30">
        <v>6</v>
      </c>
      <c r="P423" s="30">
        <v>6</v>
      </c>
      <c r="Q423" s="30">
        <f>5+1</f>
        <v>6</v>
      </c>
      <c r="R423" s="30">
        <v>4</v>
      </c>
      <c r="S423" s="30">
        <f>3+1</f>
        <v>4</v>
      </c>
      <c r="T423" s="30">
        <v>3</v>
      </c>
      <c r="U423" s="30">
        <f>2</f>
        <v>2</v>
      </c>
      <c r="V423" s="30">
        <f>2+10</f>
        <v>12</v>
      </c>
      <c r="W423" s="30">
        <f>10+1</f>
        <v>11</v>
      </c>
      <c r="X423" s="30">
        <v>11</v>
      </c>
      <c r="Y423" s="30">
        <v>11</v>
      </c>
      <c r="Z423" s="30">
        <v>11</v>
      </c>
      <c r="AA423" s="30">
        <v>10</v>
      </c>
      <c r="AB423" s="30">
        <v>8</v>
      </c>
      <c r="AC423" s="30">
        <v>8</v>
      </c>
      <c r="AD423" s="30">
        <v>8</v>
      </c>
      <c r="AE423" s="30">
        <f>6+1</f>
        <v>7</v>
      </c>
      <c r="AF423" s="30">
        <v>7</v>
      </c>
      <c r="AG423" s="30">
        <v>7</v>
      </c>
      <c r="AH423" s="30">
        <v>7</v>
      </c>
      <c r="AI423" s="30">
        <f>6+1</f>
        <v>7</v>
      </c>
      <c r="AJ423" s="30">
        <f>3+2</f>
        <v>5</v>
      </c>
    </row>
    <row r="424" spans="1:36" ht="80.25" customHeight="1">
      <c r="A424" s="128" t="s">
        <v>1406</v>
      </c>
      <c r="B424" s="91"/>
      <c r="C424" s="78" t="s">
        <v>794</v>
      </c>
      <c r="D424" s="64" t="s">
        <v>793</v>
      </c>
      <c r="E424" s="92"/>
      <c r="F424" s="77" t="s">
        <v>795</v>
      </c>
      <c r="G424" s="29"/>
      <c r="H424" s="29"/>
      <c r="J424" s="30">
        <v>35</v>
      </c>
      <c r="K424" s="30">
        <v>35</v>
      </c>
      <c r="L424" s="30">
        <v>35</v>
      </c>
      <c r="M424" s="30">
        <v>35</v>
      </c>
      <c r="N424" s="30">
        <v>35</v>
      </c>
      <c r="O424" s="30">
        <v>35</v>
      </c>
      <c r="P424" s="30">
        <v>35</v>
      </c>
      <c r="Q424" s="30">
        <v>35</v>
      </c>
      <c r="R424" s="30">
        <v>35</v>
      </c>
      <c r="S424" s="30">
        <v>35</v>
      </c>
      <c r="T424" s="30">
        <v>35</v>
      </c>
      <c r="U424" s="30">
        <v>35</v>
      </c>
      <c r="V424" s="30">
        <v>35</v>
      </c>
      <c r="W424" s="30">
        <v>34</v>
      </c>
      <c r="X424" s="30">
        <v>34</v>
      </c>
      <c r="Y424" s="30">
        <v>34</v>
      </c>
      <c r="Z424" s="30">
        <v>34</v>
      </c>
      <c r="AA424" s="30">
        <v>34</v>
      </c>
      <c r="AB424" s="30">
        <v>34</v>
      </c>
      <c r="AC424" s="30">
        <f>34</f>
        <v>34</v>
      </c>
      <c r="AD424" s="30">
        <v>34</v>
      </c>
      <c r="AE424" s="30">
        <v>34</v>
      </c>
      <c r="AF424" s="30">
        <v>34</v>
      </c>
      <c r="AG424" s="30">
        <v>34</v>
      </c>
      <c r="AH424" s="30">
        <v>34</v>
      </c>
      <c r="AI424" s="30">
        <v>34</v>
      </c>
      <c r="AJ424" s="30">
        <v>34</v>
      </c>
    </row>
    <row r="425" spans="1:36" ht="80.25" customHeight="1">
      <c r="A425" s="122" t="s">
        <v>8</v>
      </c>
      <c r="B425" s="74" t="s">
        <v>1054</v>
      </c>
      <c r="C425" s="78" t="s">
        <v>797</v>
      </c>
      <c r="D425" s="58" t="s">
        <v>796</v>
      </c>
      <c r="E425" s="76">
        <v>8</v>
      </c>
      <c r="F425" s="77" t="s">
        <v>798</v>
      </c>
      <c r="G425" s="25"/>
      <c r="H425" s="25"/>
      <c r="J425" s="37">
        <v>3</v>
      </c>
      <c r="K425" s="37">
        <v>3</v>
      </c>
      <c r="L425" s="37">
        <v>3</v>
      </c>
      <c r="M425" s="37">
        <v>3</v>
      </c>
      <c r="N425" s="37">
        <v>3</v>
      </c>
      <c r="O425" s="37">
        <v>3</v>
      </c>
      <c r="P425" s="37">
        <v>3</v>
      </c>
      <c r="Q425" s="37">
        <v>3</v>
      </c>
      <c r="R425" s="37">
        <v>3</v>
      </c>
      <c r="S425" s="37">
        <v>3</v>
      </c>
      <c r="T425" s="37">
        <v>3</v>
      </c>
      <c r="U425" s="37">
        <v>3</v>
      </c>
      <c r="V425" s="37">
        <v>3</v>
      </c>
      <c r="W425" s="37">
        <v>1</v>
      </c>
      <c r="X425" s="37">
        <v>1</v>
      </c>
      <c r="Y425" s="37">
        <v>1</v>
      </c>
      <c r="Z425" s="37">
        <v>1</v>
      </c>
      <c r="AA425" s="37">
        <v>1</v>
      </c>
      <c r="AB425" s="37">
        <v>1</v>
      </c>
      <c r="AC425" s="37">
        <v>1</v>
      </c>
      <c r="AD425" s="37">
        <v>1</v>
      </c>
      <c r="AE425" s="37">
        <v>1</v>
      </c>
      <c r="AF425" s="37">
        <v>1</v>
      </c>
      <c r="AG425" s="37">
        <v>1</v>
      </c>
      <c r="AH425" s="37">
        <v>1</v>
      </c>
      <c r="AI425" s="37">
        <v>1</v>
      </c>
      <c r="AJ425" s="37">
        <v>1</v>
      </c>
    </row>
    <row r="426" spans="1:36" ht="80.25" customHeight="1">
      <c r="A426" s="122" t="s">
        <v>8</v>
      </c>
      <c r="B426" s="74" t="s">
        <v>1062</v>
      </c>
      <c r="C426" s="78" t="s">
        <v>800</v>
      </c>
      <c r="D426" s="58" t="s">
        <v>799</v>
      </c>
      <c r="E426" s="76">
        <v>8</v>
      </c>
      <c r="F426" s="77" t="s">
        <v>801</v>
      </c>
      <c r="G426" s="25"/>
      <c r="H426" s="25"/>
      <c r="J426" s="30">
        <v>17</v>
      </c>
      <c r="K426" s="30">
        <v>17</v>
      </c>
      <c r="L426" s="30">
        <v>17</v>
      </c>
      <c r="M426" s="30">
        <v>17</v>
      </c>
      <c r="N426" s="30">
        <v>17</v>
      </c>
      <c r="O426" s="30">
        <v>17</v>
      </c>
      <c r="P426" s="30">
        <v>17</v>
      </c>
      <c r="Q426" s="30">
        <v>17</v>
      </c>
      <c r="R426" s="30">
        <v>17</v>
      </c>
      <c r="S426" s="30">
        <v>17</v>
      </c>
      <c r="T426" s="30">
        <v>17</v>
      </c>
      <c r="U426" s="30">
        <v>17</v>
      </c>
      <c r="V426" s="30">
        <v>17</v>
      </c>
      <c r="W426" s="30">
        <v>17</v>
      </c>
      <c r="X426" s="30">
        <v>17</v>
      </c>
      <c r="Y426" s="30">
        <v>17</v>
      </c>
      <c r="Z426" s="30">
        <v>17</v>
      </c>
      <c r="AA426" s="30">
        <v>17</v>
      </c>
      <c r="AB426" s="30">
        <v>17</v>
      </c>
      <c r="AC426" s="30">
        <v>17</v>
      </c>
      <c r="AD426" s="30">
        <v>17</v>
      </c>
      <c r="AE426" s="30">
        <v>17</v>
      </c>
      <c r="AF426" s="30">
        <v>17</v>
      </c>
      <c r="AG426" s="30">
        <v>17</v>
      </c>
      <c r="AH426" s="30">
        <v>17</v>
      </c>
      <c r="AI426" s="30">
        <v>17</v>
      </c>
      <c r="AJ426" s="30">
        <v>17</v>
      </c>
    </row>
    <row r="427" spans="1:36" ht="80.25" customHeight="1">
      <c r="A427" s="122" t="s">
        <v>8</v>
      </c>
      <c r="B427" s="74" t="s">
        <v>1054</v>
      </c>
      <c r="C427" s="78" t="s">
        <v>968</v>
      </c>
      <c r="D427" s="58" t="s">
        <v>802</v>
      </c>
      <c r="E427" s="76">
        <v>6</v>
      </c>
      <c r="F427" s="77" t="s">
        <v>803</v>
      </c>
      <c r="G427" s="25"/>
      <c r="H427" s="25"/>
      <c r="J427" s="30">
        <v>8</v>
      </c>
      <c r="K427" s="30">
        <v>8</v>
      </c>
      <c r="L427" s="30">
        <v>8</v>
      </c>
      <c r="M427" s="30">
        <v>8</v>
      </c>
      <c r="N427" s="30">
        <v>8</v>
      </c>
      <c r="O427" s="30">
        <v>8</v>
      </c>
      <c r="P427" s="30">
        <f>7</f>
        <v>7</v>
      </c>
      <c r="Q427" s="30">
        <f>5+2</f>
        <v>7</v>
      </c>
      <c r="R427" s="30">
        <v>4</v>
      </c>
      <c r="S427" s="30">
        <f>3+1</f>
        <v>4</v>
      </c>
      <c r="T427" s="30">
        <f>2+10</f>
        <v>12</v>
      </c>
      <c r="U427" s="30">
        <f>0+10</f>
        <v>10</v>
      </c>
      <c r="V427" s="30">
        <v>11</v>
      </c>
      <c r="W427" s="30">
        <v>9</v>
      </c>
      <c r="X427" s="30">
        <v>3</v>
      </c>
      <c r="Y427" s="30">
        <f>1+2</f>
        <v>3</v>
      </c>
      <c r="Z427" s="30">
        <f>1+10</f>
        <v>11</v>
      </c>
      <c r="AA427" s="30">
        <v>10</v>
      </c>
      <c r="AB427" s="30">
        <v>10</v>
      </c>
      <c r="AC427" s="30">
        <v>9</v>
      </c>
      <c r="AD427" s="30">
        <v>9</v>
      </c>
      <c r="AE427" s="30">
        <v>9</v>
      </c>
      <c r="AF427" s="30">
        <v>9</v>
      </c>
      <c r="AG427" s="30">
        <v>9</v>
      </c>
      <c r="AH427" s="30">
        <v>9</v>
      </c>
      <c r="AI427" s="30">
        <v>8</v>
      </c>
      <c r="AJ427" s="30">
        <v>8</v>
      </c>
    </row>
    <row r="428" spans="1:36" ht="80.25" customHeight="1">
      <c r="A428" s="127" t="s">
        <v>1441</v>
      </c>
      <c r="B428" s="86"/>
      <c r="C428" s="84" t="s">
        <v>805</v>
      </c>
      <c r="D428" s="58" t="s">
        <v>804</v>
      </c>
      <c r="E428" s="76"/>
      <c r="F428" s="77" t="s">
        <v>806</v>
      </c>
      <c r="G428" s="25"/>
      <c r="H428" s="25"/>
      <c r="J428" s="30">
        <v>0</v>
      </c>
      <c r="K428" s="30">
        <v>0</v>
      </c>
      <c r="L428" s="30">
        <v>0</v>
      </c>
      <c r="M428" s="30">
        <v>0</v>
      </c>
      <c r="N428" s="30">
        <f>0+3</f>
        <v>3</v>
      </c>
      <c r="O428" s="30">
        <f>0+3</f>
        <v>3</v>
      </c>
      <c r="P428" s="30">
        <f>0+3</f>
        <v>3</v>
      </c>
      <c r="Q428" s="30">
        <f>0+3</f>
        <v>3</v>
      </c>
      <c r="R428" s="30">
        <f>0+3</f>
        <v>3</v>
      </c>
      <c r="S428" s="30">
        <f>0+3</f>
        <v>3</v>
      </c>
      <c r="T428" s="30">
        <v>3</v>
      </c>
      <c r="U428" s="30">
        <v>3</v>
      </c>
      <c r="V428" s="30">
        <v>3</v>
      </c>
      <c r="W428" s="30">
        <v>3</v>
      </c>
      <c r="X428" s="30">
        <v>3</v>
      </c>
      <c r="Y428" s="30">
        <v>3</v>
      </c>
      <c r="Z428" s="30">
        <v>3</v>
      </c>
      <c r="AA428" s="30">
        <v>3</v>
      </c>
      <c r="AB428" s="30">
        <v>3</v>
      </c>
      <c r="AC428" s="30">
        <v>3</v>
      </c>
      <c r="AD428" s="30">
        <v>3</v>
      </c>
      <c r="AE428" s="30">
        <v>3</v>
      </c>
      <c r="AF428" s="30">
        <v>3</v>
      </c>
      <c r="AG428" s="30">
        <v>3</v>
      </c>
      <c r="AH428" s="30">
        <v>3</v>
      </c>
      <c r="AI428" s="30">
        <v>3</v>
      </c>
      <c r="AJ428" s="30">
        <v>3</v>
      </c>
    </row>
    <row r="429" spans="1:36" ht="80.25" customHeight="1">
      <c r="A429" s="122" t="s">
        <v>1404</v>
      </c>
      <c r="B429" s="74"/>
      <c r="C429" s="75" t="s">
        <v>1185</v>
      </c>
      <c r="D429" s="56" t="s">
        <v>1184</v>
      </c>
      <c r="E429" s="80"/>
      <c r="F429" s="81" t="s">
        <v>1207</v>
      </c>
      <c r="G429" s="23"/>
      <c r="H429" s="25"/>
      <c r="I429" s="49"/>
      <c r="AI429" s="30">
        <v>0</v>
      </c>
      <c r="AJ429" s="30">
        <f>0+5</f>
        <v>5</v>
      </c>
    </row>
    <row r="430" spans="1:36" ht="80.25" customHeight="1">
      <c r="A430" s="122" t="s">
        <v>8</v>
      </c>
      <c r="B430" s="74" t="s">
        <v>1054</v>
      </c>
      <c r="C430" s="78" t="s">
        <v>808</v>
      </c>
      <c r="D430" s="58" t="s">
        <v>807</v>
      </c>
      <c r="E430" s="76">
        <v>9</v>
      </c>
      <c r="F430" s="77" t="s">
        <v>809</v>
      </c>
      <c r="G430" s="25"/>
      <c r="H430" s="25"/>
      <c r="J430" s="30">
        <v>13</v>
      </c>
      <c r="K430" s="30">
        <v>13</v>
      </c>
      <c r="L430" s="30">
        <v>13</v>
      </c>
      <c r="M430" s="30">
        <v>13</v>
      </c>
      <c r="N430" s="30">
        <v>13</v>
      </c>
      <c r="O430" s="30">
        <v>13</v>
      </c>
      <c r="P430" s="30">
        <v>13</v>
      </c>
      <c r="Q430" s="30">
        <v>13</v>
      </c>
      <c r="R430" s="30">
        <v>13</v>
      </c>
      <c r="S430" s="30">
        <v>13</v>
      </c>
      <c r="T430" s="30">
        <v>13</v>
      </c>
      <c r="U430" s="30">
        <v>13</v>
      </c>
      <c r="V430" s="30">
        <v>13</v>
      </c>
      <c r="W430" s="30">
        <v>13</v>
      </c>
      <c r="X430" s="30">
        <v>13</v>
      </c>
      <c r="Y430" s="30">
        <v>13</v>
      </c>
      <c r="Z430" s="30">
        <v>15</v>
      </c>
      <c r="AA430" s="30">
        <v>13</v>
      </c>
      <c r="AB430" s="30">
        <v>13</v>
      </c>
      <c r="AC430" s="30">
        <v>13</v>
      </c>
      <c r="AD430" s="30">
        <f>12+1</f>
        <v>13</v>
      </c>
      <c r="AE430" s="30">
        <v>12</v>
      </c>
      <c r="AF430" s="30">
        <v>12</v>
      </c>
      <c r="AG430" s="30">
        <v>12</v>
      </c>
      <c r="AH430" s="30">
        <v>12</v>
      </c>
      <c r="AI430" s="30">
        <v>12</v>
      </c>
      <c r="AJ430" s="30">
        <v>12</v>
      </c>
    </row>
    <row r="431" spans="1:36" ht="80.25" customHeight="1">
      <c r="A431" s="122" t="s">
        <v>8</v>
      </c>
      <c r="B431" s="74" t="s">
        <v>1054</v>
      </c>
      <c r="C431" s="78" t="s">
        <v>811</v>
      </c>
      <c r="D431" s="58" t="s">
        <v>810</v>
      </c>
      <c r="E431" s="76">
        <v>6</v>
      </c>
      <c r="F431" s="77" t="s">
        <v>812</v>
      </c>
      <c r="G431" s="25"/>
      <c r="H431" s="25"/>
      <c r="J431" s="30">
        <v>6</v>
      </c>
      <c r="K431" s="30">
        <v>6</v>
      </c>
      <c r="L431" s="30">
        <v>6</v>
      </c>
      <c r="M431" s="30">
        <v>6</v>
      </c>
      <c r="N431" s="30">
        <v>6</v>
      </c>
      <c r="O431" s="30">
        <v>6</v>
      </c>
      <c r="P431" s="30">
        <v>6</v>
      </c>
      <c r="Q431" s="30">
        <v>6</v>
      </c>
      <c r="R431" s="30">
        <v>6</v>
      </c>
      <c r="S431" s="30">
        <v>6</v>
      </c>
      <c r="T431" s="30">
        <v>6</v>
      </c>
      <c r="U431" s="30">
        <v>6</v>
      </c>
      <c r="V431" s="30">
        <v>6</v>
      </c>
      <c r="W431" s="30">
        <v>6</v>
      </c>
      <c r="X431" s="30">
        <v>6</v>
      </c>
      <c r="Y431" s="30">
        <v>6</v>
      </c>
      <c r="Z431" s="30">
        <v>6</v>
      </c>
      <c r="AA431" s="30">
        <v>6</v>
      </c>
      <c r="AB431" s="30">
        <v>6</v>
      </c>
      <c r="AC431" s="30">
        <v>6</v>
      </c>
      <c r="AD431" s="30">
        <v>6</v>
      </c>
      <c r="AE431" s="30">
        <v>6</v>
      </c>
      <c r="AF431" s="30">
        <v>6</v>
      </c>
      <c r="AG431" s="30">
        <v>6</v>
      </c>
      <c r="AH431" s="30">
        <v>6</v>
      </c>
      <c r="AI431" s="30">
        <v>6</v>
      </c>
      <c r="AJ431" s="30">
        <v>6</v>
      </c>
    </row>
    <row r="432" spans="1:36" ht="80.25" customHeight="1">
      <c r="A432" s="122" t="s">
        <v>8</v>
      </c>
      <c r="B432" s="74" t="s">
        <v>1064</v>
      </c>
      <c r="C432" s="78" t="s">
        <v>814</v>
      </c>
      <c r="D432" s="58" t="s">
        <v>813</v>
      </c>
      <c r="E432" s="76">
        <v>6</v>
      </c>
      <c r="F432" s="77" t="s">
        <v>815</v>
      </c>
      <c r="G432" s="25"/>
      <c r="H432" s="25"/>
      <c r="J432" s="30">
        <v>3</v>
      </c>
      <c r="K432" s="30">
        <v>3</v>
      </c>
      <c r="L432" s="30">
        <v>3</v>
      </c>
      <c r="M432" s="30">
        <v>3</v>
      </c>
      <c r="N432" s="30">
        <v>3</v>
      </c>
      <c r="O432" s="30">
        <v>3</v>
      </c>
      <c r="P432" s="30">
        <v>3</v>
      </c>
      <c r="Q432" s="30">
        <v>3</v>
      </c>
      <c r="R432" s="30">
        <v>3</v>
      </c>
      <c r="S432" s="30">
        <v>3</v>
      </c>
      <c r="T432" s="30">
        <v>3</v>
      </c>
      <c r="U432" s="30">
        <v>3</v>
      </c>
      <c r="V432" s="30">
        <v>3</v>
      </c>
      <c r="W432" s="30">
        <f>1+1</f>
        <v>2</v>
      </c>
      <c r="X432" s="30">
        <v>1</v>
      </c>
      <c r="Y432" s="30">
        <v>1</v>
      </c>
      <c r="Z432" s="30">
        <f>1+3</f>
        <v>4</v>
      </c>
      <c r="AA432" s="30">
        <v>4</v>
      </c>
      <c r="AB432" s="30">
        <v>4</v>
      </c>
      <c r="AC432" s="30">
        <v>4</v>
      </c>
      <c r="AD432" s="30">
        <v>4</v>
      </c>
      <c r="AE432" s="30">
        <v>4</v>
      </c>
      <c r="AF432" s="30">
        <v>4</v>
      </c>
      <c r="AG432" s="30">
        <v>4</v>
      </c>
      <c r="AH432" s="30">
        <v>4</v>
      </c>
      <c r="AI432" s="30">
        <v>4</v>
      </c>
      <c r="AJ432" s="30">
        <v>4</v>
      </c>
    </row>
    <row r="433" spans="1:36" ht="80.25" customHeight="1">
      <c r="A433" s="122" t="s">
        <v>8</v>
      </c>
      <c r="B433" s="74" t="s">
        <v>1070</v>
      </c>
      <c r="C433" s="78" t="s">
        <v>817</v>
      </c>
      <c r="D433" s="58" t="s">
        <v>816</v>
      </c>
      <c r="E433" s="76">
        <v>6</v>
      </c>
      <c r="F433" s="77" t="s">
        <v>818</v>
      </c>
      <c r="G433" s="25"/>
      <c r="H433" s="25"/>
      <c r="J433" s="30">
        <v>4</v>
      </c>
      <c r="K433" s="30">
        <v>4</v>
      </c>
      <c r="L433" s="30">
        <v>4</v>
      </c>
      <c r="M433" s="30">
        <v>4</v>
      </c>
      <c r="N433" s="30">
        <v>4</v>
      </c>
      <c r="O433" s="30">
        <v>4</v>
      </c>
      <c r="P433" s="30">
        <v>4</v>
      </c>
      <c r="Q433" s="30">
        <v>4</v>
      </c>
      <c r="R433" s="30">
        <v>4</v>
      </c>
      <c r="S433" s="30">
        <v>4</v>
      </c>
      <c r="T433" s="30">
        <v>4</v>
      </c>
      <c r="U433" s="30">
        <v>4</v>
      </c>
      <c r="V433" s="30">
        <v>4</v>
      </c>
      <c r="W433" s="30">
        <v>4</v>
      </c>
      <c r="X433" s="30">
        <v>4</v>
      </c>
      <c r="Y433" s="30">
        <v>4</v>
      </c>
      <c r="Z433" s="30">
        <v>4</v>
      </c>
      <c r="AA433" s="30">
        <v>4</v>
      </c>
      <c r="AB433" s="30">
        <v>4</v>
      </c>
      <c r="AC433" s="30">
        <v>4</v>
      </c>
      <c r="AD433" s="30">
        <v>4</v>
      </c>
      <c r="AE433" s="30">
        <v>4</v>
      </c>
      <c r="AF433" s="30">
        <v>4</v>
      </c>
      <c r="AG433" s="30">
        <v>4</v>
      </c>
      <c r="AH433" s="30">
        <v>4</v>
      </c>
      <c r="AI433" s="30">
        <v>4</v>
      </c>
      <c r="AJ433" s="30">
        <v>4</v>
      </c>
    </row>
    <row r="434" spans="1:36" ht="80.25" customHeight="1">
      <c r="A434" s="122" t="s">
        <v>8</v>
      </c>
      <c r="B434" s="74" t="s">
        <v>1068</v>
      </c>
      <c r="C434" s="78" t="s">
        <v>819</v>
      </c>
      <c r="D434" s="115" t="s">
        <v>1408</v>
      </c>
      <c r="E434" s="76">
        <v>6</v>
      </c>
      <c r="F434" s="77" t="s">
        <v>820</v>
      </c>
      <c r="G434" s="25"/>
      <c r="H434" s="25"/>
      <c r="J434" s="30">
        <v>7</v>
      </c>
      <c r="K434" s="30">
        <v>7</v>
      </c>
      <c r="L434" s="30">
        <v>7</v>
      </c>
      <c r="M434" s="30">
        <v>7</v>
      </c>
      <c r="N434" s="30">
        <v>7</v>
      </c>
      <c r="O434" s="30">
        <v>7</v>
      </c>
      <c r="P434" s="30">
        <v>7</v>
      </c>
      <c r="Q434" s="30">
        <v>7</v>
      </c>
      <c r="R434" s="30">
        <v>7</v>
      </c>
      <c r="S434" s="30">
        <v>6</v>
      </c>
      <c r="T434" s="30">
        <v>6</v>
      </c>
      <c r="U434" s="30">
        <v>6</v>
      </c>
      <c r="V434" s="30">
        <v>6</v>
      </c>
      <c r="W434" s="30">
        <v>6</v>
      </c>
      <c r="X434" s="30">
        <v>6</v>
      </c>
      <c r="Y434" s="30">
        <v>6</v>
      </c>
      <c r="Z434" s="30">
        <v>6</v>
      </c>
      <c r="AA434" s="30">
        <v>6</v>
      </c>
      <c r="AB434" s="30">
        <v>6</v>
      </c>
      <c r="AC434" s="30">
        <v>6</v>
      </c>
      <c r="AD434" s="30">
        <v>5</v>
      </c>
      <c r="AE434" s="30">
        <v>5</v>
      </c>
      <c r="AF434" s="30">
        <v>3</v>
      </c>
      <c r="AG434" s="30">
        <v>2</v>
      </c>
      <c r="AH434" s="30">
        <f>2+5</f>
        <v>7</v>
      </c>
      <c r="AI434" s="30">
        <f>2+5</f>
        <v>7</v>
      </c>
      <c r="AJ434" s="30">
        <f>2+5</f>
        <v>7</v>
      </c>
    </row>
    <row r="435" spans="1:36" ht="80.25" customHeight="1">
      <c r="A435" s="131" t="s">
        <v>17</v>
      </c>
      <c r="B435" s="101" t="s">
        <v>1054</v>
      </c>
      <c r="C435" s="84" t="s">
        <v>969</v>
      </c>
      <c r="D435" s="64" t="s">
        <v>821</v>
      </c>
      <c r="E435" s="85"/>
      <c r="F435" s="77" t="s">
        <v>822</v>
      </c>
      <c r="G435" s="29"/>
      <c r="H435" s="29"/>
      <c r="J435" s="30">
        <f>0+34+0</f>
        <v>34</v>
      </c>
      <c r="K435" s="30">
        <f>0+34+0</f>
        <v>34</v>
      </c>
      <c r="L435" s="30">
        <f>0+34+0</f>
        <v>34</v>
      </c>
      <c r="M435" s="30">
        <f>0+34+0</f>
        <v>34</v>
      </c>
      <c r="N435" s="30">
        <f>0+34</f>
        <v>34</v>
      </c>
      <c r="O435" s="30">
        <f>0+34+0</f>
        <v>34</v>
      </c>
      <c r="P435" s="30">
        <f>30+2</f>
        <v>32</v>
      </c>
      <c r="Q435" s="30">
        <f>26+2</f>
        <v>28</v>
      </c>
      <c r="R435" s="30">
        <f>21+2</f>
        <v>23</v>
      </c>
      <c r="S435" s="30">
        <f>17+10+1</f>
        <v>28</v>
      </c>
      <c r="T435" s="30">
        <f>16+30</f>
        <v>46</v>
      </c>
      <c r="U435" s="30">
        <f>19+24+2</f>
        <v>45</v>
      </c>
      <c r="V435" s="30">
        <f>42</f>
        <v>42</v>
      </c>
      <c r="W435" s="30">
        <f>38</f>
        <v>38</v>
      </c>
      <c r="X435" s="30">
        <v>34</v>
      </c>
      <c r="Y435" s="30">
        <v>34</v>
      </c>
      <c r="Z435" s="30">
        <v>34</v>
      </c>
      <c r="AA435" s="30">
        <f>31+0</f>
        <v>31</v>
      </c>
      <c r="AB435" s="30">
        <v>30</v>
      </c>
      <c r="AC435" s="30">
        <v>29</v>
      </c>
      <c r="AD435" s="30">
        <f>22+1</f>
        <v>23</v>
      </c>
      <c r="AE435" s="30">
        <v>22</v>
      </c>
      <c r="AF435" s="30">
        <v>15</v>
      </c>
      <c r="AG435" s="30">
        <f>14+20</f>
        <v>34</v>
      </c>
      <c r="AH435" s="30">
        <f>11+20</f>
        <v>31</v>
      </c>
      <c r="AI435" s="30">
        <f>12+19</f>
        <v>31</v>
      </c>
      <c r="AJ435" s="30">
        <f>13+16</f>
        <v>29</v>
      </c>
    </row>
    <row r="436" spans="1:36" ht="80.25" customHeight="1">
      <c r="A436" s="128" t="s">
        <v>8</v>
      </c>
      <c r="B436" s="91" t="s">
        <v>1069</v>
      </c>
      <c r="C436" s="78" t="s">
        <v>824</v>
      </c>
      <c r="D436" s="58" t="s">
        <v>823</v>
      </c>
      <c r="E436" s="104">
        <v>8</v>
      </c>
      <c r="F436" s="77" t="s">
        <v>825</v>
      </c>
      <c r="G436" s="29"/>
      <c r="H436" s="29"/>
      <c r="J436" s="30">
        <f>31+30+3</f>
        <v>64</v>
      </c>
      <c r="K436" s="30">
        <f>29+1</f>
        <v>30</v>
      </c>
      <c r="L436" s="30">
        <f>24+31</f>
        <v>55</v>
      </c>
      <c r="M436" s="30">
        <f>18+33</f>
        <v>51</v>
      </c>
      <c r="N436" s="30">
        <f>8+34</f>
        <v>42</v>
      </c>
      <c r="O436" s="30">
        <f>11+25</f>
        <v>36</v>
      </c>
      <c r="P436" s="30">
        <f>16+15</f>
        <v>31</v>
      </c>
      <c r="Q436" s="30">
        <f>14+20+8</f>
        <v>42</v>
      </c>
      <c r="R436" s="30">
        <f>0+20+17</f>
        <v>37</v>
      </c>
      <c r="S436" s="30">
        <f>0+20+3</f>
        <v>23</v>
      </c>
      <c r="T436" s="30">
        <f>0+17</f>
        <v>17</v>
      </c>
      <c r="U436" s="30">
        <f>10+8</f>
        <v>18</v>
      </c>
      <c r="V436" s="30">
        <f>4+2</f>
        <v>6</v>
      </c>
      <c r="W436" s="30">
        <v>0</v>
      </c>
      <c r="X436" s="30">
        <v>0</v>
      </c>
      <c r="Y436" s="30">
        <v>0</v>
      </c>
      <c r="Z436" s="30">
        <v>0</v>
      </c>
      <c r="AA436" s="30">
        <f>1+1</f>
        <v>2</v>
      </c>
      <c r="AB436" s="30">
        <v>0</v>
      </c>
      <c r="AC436" s="30">
        <v>0</v>
      </c>
      <c r="AD436" s="30">
        <v>0</v>
      </c>
      <c r="AE436" s="30">
        <v>0</v>
      </c>
      <c r="AF436" s="30">
        <v>0</v>
      </c>
      <c r="AG436" s="30">
        <v>0</v>
      </c>
      <c r="AH436" s="30">
        <f>0+50</f>
        <v>50</v>
      </c>
      <c r="AI436" s="30">
        <v>49</v>
      </c>
      <c r="AJ436" s="30">
        <f>39+3</f>
        <v>42</v>
      </c>
    </row>
    <row r="437" spans="1:36" ht="80.25" customHeight="1">
      <c r="A437" s="131" t="s">
        <v>1418</v>
      </c>
      <c r="B437" s="101" t="s">
        <v>1054</v>
      </c>
      <c r="C437" s="78" t="s">
        <v>970</v>
      </c>
      <c r="D437" s="64" t="s">
        <v>826</v>
      </c>
      <c r="E437" s="92"/>
      <c r="F437" s="77" t="s">
        <v>827</v>
      </c>
      <c r="G437" s="29"/>
      <c r="H437" s="43"/>
      <c r="J437" s="46">
        <f>0+240+7</f>
        <v>247</v>
      </c>
      <c r="K437" s="46">
        <f>0+240+11</f>
        <v>251</v>
      </c>
      <c r="L437" s="46">
        <f>0+2</f>
        <v>2</v>
      </c>
      <c r="M437" s="46">
        <f>0+153</f>
        <v>153</v>
      </c>
      <c r="N437" s="46">
        <f>0+87+111</f>
        <v>198</v>
      </c>
      <c r="O437" s="46">
        <f>0+87+83</f>
        <v>170</v>
      </c>
      <c r="P437" s="46">
        <f>0+87+88</f>
        <v>175</v>
      </c>
      <c r="Q437" s="46">
        <f>0+87+46</f>
        <v>133</v>
      </c>
      <c r="R437" s="46">
        <f>0+24</f>
        <v>24</v>
      </c>
      <c r="S437" s="46">
        <f>0+280+12</f>
        <v>292</v>
      </c>
      <c r="T437" s="46">
        <f>0+450+242</f>
        <v>692</v>
      </c>
      <c r="U437" s="46">
        <f>0+450+184</f>
        <v>634</v>
      </c>
      <c r="V437" s="46">
        <f>0+450+154</f>
        <v>604</v>
      </c>
      <c r="W437" s="46">
        <f>613+12</f>
        <v>625</v>
      </c>
      <c r="X437" s="46">
        <f>519+34</f>
        <v>553</v>
      </c>
      <c r="Y437" s="46">
        <f>474+41</f>
        <v>515</v>
      </c>
      <c r="Z437" s="46">
        <f>458+26</f>
        <v>484</v>
      </c>
      <c r="AA437" s="46">
        <f>402+29</f>
        <v>431</v>
      </c>
      <c r="AB437" s="46">
        <f>402+8</f>
        <v>410</v>
      </c>
      <c r="AC437" s="46">
        <f>340+22</f>
        <v>362</v>
      </c>
      <c r="AD437" s="46">
        <f>281+41</f>
        <v>322</v>
      </c>
      <c r="AE437" s="46">
        <f>227+85+13</f>
        <v>325</v>
      </c>
      <c r="AF437" s="46">
        <f>241+85+7</f>
        <v>333</v>
      </c>
      <c r="AG437" s="46">
        <f>232+94</f>
        <v>326</v>
      </c>
      <c r="AH437" s="46">
        <f>294+13</f>
        <v>307</v>
      </c>
      <c r="AI437" s="46">
        <f>282+13</f>
        <v>295</v>
      </c>
      <c r="AJ437" s="46">
        <f>271+9</f>
        <v>280</v>
      </c>
    </row>
    <row r="438" spans="1:36" ht="80.25" customHeight="1">
      <c r="A438" s="131" t="s">
        <v>1418</v>
      </c>
      <c r="B438" s="101" t="s">
        <v>1054</v>
      </c>
      <c r="C438" s="116" t="s">
        <v>1021</v>
      </c>
      <c r="D438" s="64" t="s">
        <v>1026</v>
      </c>
      <c r="E438" s="92"/>
      <c r="F438" s="81" t="s">
        <v>1089</v>
      </c>
      <c r="G438" s="25"/>
      <c r="H438" s="43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>
        <f>0+5</f>
        <v>5</v>
      </c>
      <c r="AF438" s="46">
        <v>2</v>
      </c>
      <c r="AG438" s="46">
        <f>0+30</f>
        <v>30</v>
      </c>
      <c r="AH438" s="46">
        <v>29</v>
      </c>
      <c r="AI438" s="46">
        <v>28</v>
      </c>
      <c r="AJ438" s="46">
        <f>26+1</f>
        <v>27</v>
      </c>
    </row>
    <row r="439" spans="1:36" ht="80.25" customHeight="1">
      <c r="A439" s="131" t="s">
        <v>1418</v>
      </c>
      <c r="B439" s="101" t="s">
        <v>1054</v>
      </c>
      <c r="C439" s="78" t="s">
        <v>1020</v>
      </c>
      <c r="D439" s="64" t="s">
        <v>1024</v>
      </c>
      <c r="E439" s="92"/>
      <c r="F439" s="81" t="s">
        <v>1090</v>
      </c>
      <c r="G439" s="25"/>
      <c r="H439" s="43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>
        <f>0+5</f>
        <v>5</v>
      </c>
      <c r="AF439" s="46">
        <v>2</v>
      </c>
      <c r="AG439" s="46">
        <f>1+30</f>
        <v>31</v>
      </c>
      <c r="AH439" s="46">
        <v>31</v>
      </c>
      <c r="AI439" s="46">
        <v>31</v>
      </c>
      <c r="AJ439" s="46">
        <f>27+2</f>
        <v>29</v>
      </c>
    </row>
    <row r="440" spans="1:36" ht="80.25" customHeight="1">
      <c r="A440" s="131" t="s">
        <v>1418</v>
      </c>
      <c r="B440" s="101" t="s">
        <v>1054</v>
      </c>
      <c r="C440" s="116" t="s">
        <v>1023</v>
      </c>
      <c r="D440" s="64" t="s">
        <v>1027</v>
      </c>
      <c r="E440" s="92"/>
      <c r="F440" s="81" t="s">
        <v>1091</v>
      </c>
      <c r="G440" s="25"/>
      <c r="H440" s="43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>
        <f>0+8</f>
        <v>8</v>
      </c>
      <c r="AF440" s="46">
        <v>5</v>
      </c>
      <c r="AG440" s="46">
        <f>0+30+1</f>
        <v>31</v>
      </c>
      <c r="AH440" s="46">
        <v>29</v>
      </c>
      <c r="AI440" s="46">
        <v>29</v>
      </c>
      <c r="AJ440" s="46">
        <f>25+2</f>
        <v>27</v>
      </c>
    </row>
    <row r="441" spans="1:36" ht="80.25" customHeight="1">
      <c r="A441" s="131" t="s">
        <v>1418</v>
      </c>
      <c r="B441" s="101" t="s">
        <v>1054</v>
      </c>
      <c r="C441" s="116" t="s">
        <v>1022</v>
      </c>
      <c r="D441" s="64" t="s">
        <v>1025</v>
      </c>
      <c r="E441" s="92"/>
      <c r="F441" s="81" t="s">
        <v>1092</v>
      </c>
      <c r="G441" s="25"/>
      <c r="H441" s="43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>
        <f>0+5</f>
        <v>5</v>
      </c>
      <c r="AF441" s="46">
        <v>2</v>
      </c>
      <c r="AG441" s="46">
        <f>0+50</f>
        <v>50</v>
      </c>
      <c r="AH441" s="46">
        <f>47+2</f>
        <v>49</v>
      </c>
      <c r="AI441" s="46">
        <v>44</v>
      </c>
      <c r="AJ441" s="46">
        <f>32+3</f>
        <v>35</v>
      </c>
    </row>
    <row r="442" spans="1:36" ht="80.25" customHeight="1">
      <c r="A442" s="122" t="s">
        <v>1437</v>
      </c>
      <c r="B442" s="74"/>
      <c r="C442" s="75" t="s">
        <v>1155</v>
      </c>
      <c r="D442" s="56" t="s">
        <v>1154</v>
      </c>
      <c r="E442" s="80"/>
      <c r="F442" s="81" t="s">
        <v>1192</v>
      </c>
      <c r="G442" s="23"/>
      <c r="H442" s="25"/>
      <c r="I442" s="49"/>
      <c r="AI442" s="46">
        <v>0</v>
      </c>
      <c r="AJ442" s="46">
        <f>0+3</f>
        <v>3</v>
      </c>
    </row>
    <row r="443" spans="1:36" ht="80.25" customHeight="1">
      <c r="A443" s="122" t="s">
        <v>8</v>
      </c>
      <c r="B443" s="101" t="s">
        <v>1054</v>
      </c>
      <c r="C443" s="78" t="s">
        <v>986</v>
      </c>
      <c r="D443" s="58" t="s">
        <v>828</v>
      </c>
      <c r="E443" s="76">
        <v>9</v>
      </c>
      <c r="F443" s="77" t="s">
        <v>829</v>
      </c>
      <c r="G443" s="25"/>
      <c r="H443" s="25"/>
      <c r="J443" s="30">
        <v>8</v>
      </c>
      <c r="K443" s="30">
        <v>8</v>
      </c>
      <c r="L443" s="30">
        <v>7</v>
      </c>
      <c r="M443" s="30">
        <v>7</v>
      </c>
      <c r="N443" s="30">
        <v>7</v>
      </c>
      <c r="O443" s="30">
        <v>6</v>
      </c>
      <c r="P443" s="30">
        <v>6</v>
      </c>
      <c r="Q443" s="30">
        <v>6</v>
      </c>
      <c r="R443" s="30">
        <v>6</v>
      </c>
      <c r="S443" s="30">
        <v>6</v>
      </c>
      <c r="T443" s="30">
        <f>5+1</f>
        <v>6</v>
      </c>
      <c r="U443" s="30">
        <v>5</v>
      </c>
      <c r="V443" s="30">
        <v>5</v>
      </c>
      <c r="W443" s="30">
        <v>4</v>
      </c>
      <c r="X443" s="30">
        <v>3</v>
      </c>
      <c r="Y443" s="30">
        <v>2</v>
      </c>
      <c r="Z443" s="30">
        <f>2+3</f>
        <v>5</v>
      </c>
      <c r="AA443" s="30">
        <f>2+1</f>
        <v>3</v>
      </c>
      <c r="AB443" s="30">
        <v>0</v>
      </c>
      <c r="AC443" s="30">
        <v>0</v>
      </c>
      <c r="AD443" s="30">
        <f>0+5</f>
        <v>5</v>
      </c>
      <c r="AE443" s="30">
        <f>0+5</f>
        <v>5</v>
      </c>
      <c r="AF443" s="30">
        <v>4</v>
      </c>
      <c r="AG443" s="30">
        <v>3</v>
      </c>
      <c r="AH443" s="30">
        <f>2+5+0</f>
        <v>7</v>
      </c>
      <c r="AI443" s="30">
        <f>3+4</f>
        <v>7</v>
      </c>
      <c r="AJ443" s="30">
        <f>3+3</f>
        <v>6</v>
      </c>
    </row>
    <row r="444" spans="1:36" ht="80.25" customHeight="1">
      <c r="A444" s="127" t="s">
        <v>17</v>
      </c>
      <c r="B444" s="101" t="s">
        <v>1054</v>
      </c>
      <c r="C444" s="78" t="s">
        <v>987</v>
      </c>
      <c r="D444" s="67" t="s">
        <v>830</v>
      </c>
      <c r="E444" s="76"/>
      <c r="F444" s="77" t="s">
        <v>831</v>
      </c>
      <c r="G444" s="25"/>
      <c r="H444" s="25"/>
      <c r="J444" s="30">
        <f>24</f>
        <v>24</v>
      </c>
      <c r="K444" s="30">
        <f>23+2</f>
        <v>25</v>
      </c>
      <c r="L444" s="30">
        <f>16+3</f>
        <v>19</v>
      </c>
      <c r="M444" s="30">
        <f>18+0</f>
        <v>18</v>
      </c>
      <c r="N444" s="30">
        <f>10+3</f>
        <v>13</v>
      </c>
      <c r="O444" s="30">
        <v>10</v>
      </c>
      <c r="P444" s="30">
        <v>10</v>
      </c>
      <c r="Q444" s="30">
        <f>7+20+1</f>
        <v>28</v>
      </c>
      <c r="R444" s="30">
        <f>1+20+1</f>
        <v>22</v>
      </c>
      <c r="S444" s="30">
        <f>0+20+1</f>
        <v>21</v>
      </c>
      <c r="T444" s="30">
        <f>0+20</f>
        <v>20</v>
      </c>
      <c r="U444" s="30">
        <v>20</v>
      </c>
      <c r="V444" s="30">
        <f>18+20+1</f>
        <v>39</v>
      </c>
      <c r="W444" s="30">
        <f>29</f>
        <v>29</v>
      </c>
      <c r="X444" s="30">
        <f>25+1</f>
        <v>26</v>
      </c>
      <c r="Y444" s="30">
        <f>24</f>
        <v>24</v>
      </c>
      <c r="Z444" s="30">
        <f>23+10+0</f>
        <v>33</v>
      </c>
      <c r="AA444" s="30">
        <f>26+2</f>
        <v>28</v>
      </c>
      <c r="AB444" s="30">
        <f>22+3</f>
        <v>25</v>
      </c>
      <c r="AC444" s="30">
        <v>22</v>
      </c>
      <c r="AD444" s="30">
        <f>19+1+20</f>
        <v>40</v>
      </c>
      <c r="AE444" s="30">
        <f>14+25</f>
        <v>39</v>
      </c>
      <c r="AF444" s="30">
        <f>31+2</f>
        <v>33</v>
      </c>
      <c r="AG444" s="30">
        <f>28+2</f>
        <v>30</v>
      </c>
      <c r="AH444" s="30">
        <f>24+3</f>
        <v>27</v>
      </c>
      <c r="AI444" s="46">
        <v>25</v>
      </c>
      <c r="AJ444" s="46">
        <f>21+3</f>
        <v>24</v>
      </c>
    </row>
    <row r="445" spans="1:36" ht="80.25" customHeight="1">
      <c r="A445" s="127" t="s">
        <v>1418</v>
      </c>
      <c r="B445" s="86"/>
      <c r="C445" s="68" t="s">
        <v>833</v>
      </c>
      <c r="D445" s="115" t="s">
        <v>832</v>
      </c>
      <c r="E445" s="89"/>
      <c r="F445" s="99" t="s">
        <v>834</v>
      </c>
      <c r="G445" s="25"/>
      <c r="H445" s="25"/>
      <c r="I445" s="30"/>
      <c r="J445" s="30">
        <f>569+60+66</f>
        <v>695</v>
      </c>
      <c r="K445" s="30">
        <f>553+60+43</f>
        <v>656</v>
      </c>
      <c r="L445" s="30">
        <f>517+38</f>
        <v>555</v>
      </c>
      <c r="M445" s="30">
        <f>447+118</f>
        <v>565</v>
      </c>
      <c r="N445" s="30">
        <f>407+200+87</f>
        <v>694</v>
      </c>
      <c r="O445" s="30">
        <f>337+200+69</f>
        <v>606</v>
      </c>
      <c r="P445" s="30">
        <f>376+200+61</f>
        <v>637</v>
      </c>
      <c r="Q445" s="30">
        <f>323+400+85</f>
        <v>808</v>
      </c>
      <c r="R445" s="30">
        <f>269+200+266</f>
        <v>735</v>
      </c>
      <c r="S445" s="30">
        <f>248+200+196</f>
        <v>644</v>
      </c>
      <c r="T445" s="30">
        <f>239+354</f>
        <v>593</v>
      </c>
      <c r="U445" s="30">
        <f>527+47</f>
        <v>574</v>
      </c>
      <c r="V445" s="30">
        <f>327+600+36</f>
        <v>963</v>
      </c>
      <c r="W445" s="30">
        <f>663+48</f>
        <v>711</v>
      </c>
      <c r="X445" s="30">
        <f>676+200+33</f>
        <v>909</v>
      </c>
      <c r="Y445" s="30">
        <f>620+200+9</f>
        <v>829</v>
      </c>
      <c r="Z445" s="30">
        <f>757+200+11</f>
        <v>968</v>
      </c>
      <c r="AA445" s="30">
        <f>807+138</f>
        <v>945</v>
      </c>
      <c r="AB445" s="30">
        <f>1017+17</f>
        <v>1034</v>
      </c>
      <c r="AC445" s="30">
        <f>955+16</f>
        <v>971</v>
      </c>
      <c r="AD445" s="30">
        <f>901+17</f>
        <v>918</v>
      </c>
      <c r="AE445" s="30">
        <f>851+14</f>
        <v>865</v>
      </c>
      <c r="AF445" s="30">
        <f>726+67</f>
        <v>793</v>
      </c>
      <c r="AG445" s="30">
        <f>709+30</f>
        <v>739</v>
      </c>
      <c r="AH445" s="30">
        <f>662+200+11</f>
        <v>873</v>
      </c>
      <c r="AI445" s="30">
        <f>646+207</f>
        <v>853</v>
      </c>
      <c r="AJ445" s="30">
        <f>578+200</f>
        <v>778</v>
      </c>
    </row>
    <row r="446" spans="1:36" ht="80.25" customHeight="1">
      <c r="A446" s="127" t="s">
        <v>1439</v>
      </c>
      <c r="B446" s="86"/>
      <c r="C446" s="75" t="s">
        <v>909</v>
      </c>
      <c r="D446" s="115" t="s">
        <v>852</v>
      </c>
      <c r="E446" s="89"/>
      <c r="F446" s="81" t="s">
        <v>910</v>
      </c>
      <c r="G446" s="25"/>
      <c r="H446" s="25"/>
      <c r="I446" s="30"/>
      <c r="S446" s="30">
        <f>0+300</f>
        <v>300</v>
      </c>
      <c r="T446" s="30">
        <f>0+300</f>
        <v>300</v>
      </c>
      <c r="U446" s="30">
        <f>278+17+3</f>
        <v>298</v>
      </c>
      <c r="V446" s="30">
        <f>283+6</f>
        <v>289</v>
      </c>
      <c r="W446" s="30">
        <f>227+4</f>
        <v>231</v>
      </c>
      <c r="X446" s="30">
        <f>205+4</f>
        <v>209</v>
      </c>
      <c r="Y446" s="30">
        <f>194+1</f>
        <v>195</v>
      </c>
      <c r="Z446" s="30">
        <f>179+4</f>
        <v>183</v>
      </c>
      <c r="AA446" s="30">
        <f>174+5</f>
        <v>179</v>
      </c>
      <c r="AB446" s="30">
        <f>132+11</f>
        <v>143</v>
      </c>
      <c r="AC446" s="30">
        <f>104+5</f>
        <v>109</v>
      </c>
      <c r="AD446" s="30">
        <f>81+11</f>
        <v>92</v>
      </c>
      <c r="AE446" s="30">
        <f>70+200+5</f>
        <v>275</v>
      </c>
      <c r="AF446" s="30">
        <f>43+200+3</f>
        <v>246</v>
      </c>
      <c r="AG446" s="30">
        <f>53+180</f>
        <v>233</v>
      </c>
      <c r="AH446" s="30">
        <f>158+53</f>
        <v>211</v>
      </c>
      <c r="AI446" s="30">
        <f>164+43</f>
        <v>207</v>
      </c>
      <c r="AJ446" s="30">
        <f>159+50+33</f>
        <v>242</v>
      </c>
    </row>
    <row r="447" spans="1:36" ht="80.25" customHeight="1">
      <c r="A447" s="122" t="s">
        <v>1441</v>
      </c>
      <c r="B447" s="74" t="s">
        <v>1060</v>
      </c>
      <c r="C447" s="78" t="s">
        <v>836</v>
      </c>
      <c r="D447" s="58" t="s">
        <v>835</v>
      </c>
      <c r="E447" s="76"/>
      <c r="F447" s="77" t="s">
        <v>837</v>
      </c>
      <c r="G447" s="25"/>
      <c r="H447" s="25"/>
      <c r="J447" s="30">
        <v>2</v>
      </c>
      <c r="K447" s="30">
        <v>2</v>
      </c>
      <c r="L447" s="30">
        <v>2</v>
      </c>
      <c r="M447" s="30">
        <v>2</v>
      </c>
      <c r="N447" s="30">
        <v>2</v>
      </c>
      <c r="O447" s="30">
        <v>2</v>
      </c>
      <c r="P447" s="30">
        <v>2</v>
      </c>
      <c r="Q447" s="30">
        <v>2</v>
      </c>
      <c r="R447" s="30">
        <v>2</v>
      </c>
      <c r="S447" s="30">
        <v>2</v>
      </c>
      <c r="T447" s="30">
        <v>2</v>
      </c>
      <c r="U447" s="30">
        <v>2</v>
      </c>
      <c r="V447" s="30">
        <v>2</v>
      </c>
      <c r="W447" s="30">
        <v>2</v>
      </c>
      <c r="X447" s="30">
        <v>2</v>
      </c>
      <c r="Y447" s="30">
        <v>2</v>
      </c>
      <c r="Z447" s="30">
        <v>2</v>
      </c>
      <c r="AA447" s="30">
        <v>2</v>
      </c>
      <c r="AB447" s="30">
        <v>2</v>
      </c>
      <c r="AC447" s="30">
        <v>2</v>
      </c>
      <c r="AD447" s="30">
        <v>2</v>
      </c>
      <c r="AE447" s="30">
        <v>2</v>
      </c>
      <c r="AF447" s="30">
        <v>2</v>
      </c>
      <c r="AG447" s="30">
        <v>2</v>
      </c>
      <c r="AH447" s="30">
        <v>2</v>
      </c>
      <c r="AI447" s="30">
        <v>2</v>
      </c>
      <c r="AJ447" s="30">
        <v>2</v>
      </c>
    </row>
    <row r="448" spans="1:36" ht="80.25" customHeight="1">
      <c r="A448" s="131" t="s">
        <v>17</v>
      </c>
      <c r="B448" s="101"/>
      <c r="C448" s="75" t="s">
        <v>971</v>
      </c>
      <c r="D448" s="58" t="s">
        <v>838</v>
      </c>
      <c r="E448" s="113"/>
      <c r="F448" s="99" t="s">
        <v>839</v>
      </c>
      <c r="G448" s="29"/>
      <c r="H448" s="29"/>
      <c r="J448" s="46">
        <f>0+968+10</f>
        <v>978</v>
      </c>
      <c r="K448" s="46">
        <f>0+380+181+408</f>
        <v>969</v>
      </c>
      <c r="L448" s="46">
        <f>0+750</f>
        <v>750</v>
      </c>
      <c r="M448" s="46">
        <f>57+1014</f>
        <v>1071</v>
      </c>
      <c r="N448" s="46">
        <f>0+300+944</f>
        <v>1244</v>
      </c>
      <c r="O448" s="46">
        <f>316+300+564</f>
        <v>1180</v>
      </c>
      <c r="P448" s="46">
        <f>323+300+497</f>
        <v>1120</v>
      </c>
      <c r="Q448" s="46">
        <f>237+300+463</f>
        <v>1000</v>
      </c>
      <c r="R448" s="46">
        <f>166+445</f>
        <v>611</v>
      </c>
      <c r="S448" s="46">
        <f>168+261</f>
        <v>429</v>
      </c>
      <c r="T448" s="46">
        <f>95+800+215</f>
        <v>1110</v>
      </c>
      <c r="U448" s="46">
        <f>178+800+75</f>
        <v>1053</v>
      </c>
      <c r="V448" s="46">
        <f>75+1300+74</f>
        <v>1449</v>
      </c>
      <c r="W448" s="46">
        <f>847+500+147</f>
        <v>1494</v>
      </c>
      <c r="X448" s="46">
        <f>844+474</f>
        <v>1318</v>
      </c>
      <c r="Y448" s="46">
        <f>1051+206</f>
        <v>1257</v>
      </c>
      <c r="Z448" s="46">
        <f>1167+27</f>
        <v>1194</v>
      </c>
      <c r="AA448" s="46">
        <f>1032+22</f>
        <v>1054</v>
      </c>
      <c r="AB448" s="46">
        <f>843+36</f>
        <v>879</v>
      </c>
      <c r="AC448" s="46">
        <f>689+36</f>
        <v>725</v>
      </c>
      <c r="AD448" s="46">
        <f>546+27</f>
        <v>573</v>
      </c>
      <c r="AE448" s="46">
        <f>347+500+54</f>
        <v>901</v>
      </c>
      <c r="AF448" s="46">
        <f>190+800+31</f>
        <v>1021</v>
      </c>
      <c r="AG448" s="46">
        <f>442+484</f>
        <v>926</v>
      </c>
      <c r="AH448" s="46">
        <f>645+200+141</f>
        <v>986</v>
      </c>
      <c r="AI448" s="46">
        <f>615+312</f>
        <v>927</v>
      </c>
      <c r="AJ448" s="46">
        <f>584+212</f>
        <v>796</v>
      </c>
    </row>
    <row r="449" spans="1:36" ht="80.25" customHeight="1">
      <c r="A449" s="122" t="s">
        <v>17</v>
      </c>
      <c r="B449" s="74"/>
      <c r="C449" s="78" t="s">
        <v>988</v>
      </c>
      <c r="D449" s="58" t="s">
        <v>841</v>
      </c>
      <c r="E449" s="76"/>
      <c r="F449" s="77" t="s">
        <v>842</v>
      </c>
      <c r="G449" s="25"/>
      <c r="H449" s="25"/>
      <c r="I449" s="23" t="s">
        <v>20</v>
      </c>
      <c r="J449" s="30">
        <v>0</v>
      </c>
      <c r="K449" s="30">
        <v>0</v>
      </c>
      <c r="L449" s="30">
        <v>0</v>
      </c>
      <c r="M449" s="30">
        <v>0</v>
      </c>
      <c r="N449" s="30">
        <f>0+5</f>
        <v>5</v>
      </c>
      <c r="O449" s="30">
        <f>0+5</f>
        <v>5</v>
      </c>
      <c r="P449" s="30">
        <f>0+5</f>
        <v>5</v>
      </c>
      <c r="Q449" s="30">
        <f>0+5</f>
        <v>5</v>
      </c>
      <c r="R449" s="30">
        <f>0+4+1</f>
        <v>5</v>
      </c>
      <c r="S449" s="30">
        <f>0+4</f>
        <v>4</v>
      </c>
      <c r="T449" s="30">
        <f>1+1</f>
        <v>2</v>
      </c>
      <c r="U449" s="30">
        <v>0</v>
      </c>
      <c r="V449" s="30">
        <f>0+10</f>
        <v>10</v>
      </c>
      <c r="W449" s="30">
        <v>8</v>
      </c>
      <c r="X449" s="30">
        <v>8</v>
      </c>
      <c r="Y449" s="30">
        <v>5</v>
      </c>
      <c r="Z449" s="30">
        <f>5+10</f>
        <v>15</v>
      </c>
      <c r="AA449" s="30">
        <f>13+1</f>
        <v>14</v>
      </c>
      <c r="AB449" s="30">
        <f>12+1</f>
        <v>13</v>
      </c>
      <c r="AC449" s="30">
        <v>11</v>
      </c>
      <c r="AD449" s="30">
        <f>9+1</f>
        <v>10</v>
      </c>
      <c r="AE449" s="30">
        <f>5+2</f>
        <v>7</v>
      </c>
      <c r="AF449" s="30">
        <f>4+10+1</f>
        <v>15</v>
      </c>
      <c r="AG449" s="30">
        <f>13+1</f>
        <v>14</v>
      </c>
      <c r="AH449" s="30">
        <v>13</v>
      </c>
      <c r="AI449" s="30">
        <v>12</v>
      </c>
      <c r="AJ449" s="30">
        <v>12</v>
      </c>
    </row>
    <row r="450" spans="1:36" ht="80.25" customHeight="1">
      <c r="A450" s="122" t="s">
        <v>17</v>
      </c>
      <c r="B450" s="74"/>
      <c r="C450" s="78" t="s">
        <v>844</v>
      </c>
      <c r="D450" s="58" t="s">
        <v>843</v>
      </c>
      <c r="E450" s="76"/>
      <c r="F450" s="77" t="s">
        <v>845</v>
      </c>
      <c r="G450" s="25"/>
      <c r="H450" s="25"/>
      <c r="I450" s="23" t="s">
        <v>20</v>
      </c>
      <c r="J450" s="37">
        <f>0+2</f>
        <v>2</v>
      </c>
      <c r="K450" s="37">
        <f>0+2</f>
        <v>2</v>
      </c>
      <c r="L450" s="37">
        <v>0</v>
      </c>
      <c r="M450" s="37">
        <v>0</v>
      </c>
      <c r="N450" s="37">
        <f>0+5</f>
        <v>5</v>
      </c>
      <c r="O450" s="37">
        <f>0+5</f>
        <v>5</v>
      </c>
      <c r="P450" s="37">
        <f>0+5</f>
        <v>5</v>
      </c>
      <c r="Q450" s="37">
        <f>0+5</f>
        <v>5</v>
      </c>
      <c r="R450" s="37">
        <f>0+5</f>
        <v>5</v>
      </c>
      <c r="S450" s="37">
        <f>0+5</f>
        <v>5</v>
      </c>
      <c r="T450" s="37">
        <f>3+1</f>
        <v>4</v>
      </c>
      <c r="U450" s="37">
        <v>3</v>
      </c>
      <c r="V450" s="37">
        <f>3+10</f>
        <v>13</v>
      </c>
      <c r="W450" s="37">
        <v>13</v>
      </c>
      <c r="X450" s="37">
        <v>13</v>
      </c>
      <c r="Y450" s="37">
        <v>13</v>
      </c>
      <c r="Z450" s="37">
        <f>10+2</f>
        <v>12</v>
      </c>
      <c r="AA450" s="37">
        <v>10</v>
      </c>
      <c r="AB450" s="37">
        <v>10</v>
      </c>
      <c r="AC450" s="37">
        <f>8+1</f>
        <v>9</v>
      </c>
      <c r="AD450" s="37">
        <v>6</v>
      </c>
      <c r="AE450" s="37">
        <f>6+10</f>
        <v>16</v>
      </c>
      <c r="AF450" s="37">
        <f>7+9</f>
        <v>16</v>
      </c>
      <c r="AG450" s="37">
        <f>10+7</f>
        <v>17</v>
      </c>
      <c r="AH450" s="37">
        <f>15+1</f>
        <v>16</v>
      </c>
      <c r="AI450" s="37">
        <f>14+1</f>
        <v>15</v>
      </c>
      <c r="AJ450" s="37">
        <f>14+1</f>
        <v>15</v>
      </c>
    </row>
    <row r="451" spans="1:36" ht="80.25" customHeight="1">
      <c r="A451" s="125" t="s">
        <v>8</v>
      </c>
      <c r="B451" s="79"/>
      <c r="C451" s="78" t="s">
        <v>847</v>
      </c>
      <c r="D451" s="58" t="s">
        <v>846</v>
      </c>
      <c r="E451" s="76">
        <v>7</v>
      </c>
      <c r="F451" s="99" t="s">
        <v>848</v>
      </c>
      <c r="G451" s="25"/>
      <c r="H451" s="25"/>
    </row>
    <row r="452" spans="1:36" ht="80.25" customHeight="1">
      <c r="A452" s="125" t="s">
        <v>8</v>
      </c>
      <c r="B452" s="79"/>
      <c r="C452" s="78" t="s">
        <v>850</v>
      </c>
      <c r="D452" s="60" t="s">
        <v>849</v>
      </c>
      <c r="E452" s="76">
        <v>9</v>
      </c>
      <c r="F452" s="77" t="s">
        <v>851</v>
      </c>
      <c r="G452" s="25"/>
      <c r="H452" s="25"/>
      <c r="J452" s="37">
        <v>6</v>
      </c>
      <c r="K452" s="37">
        <v>6</v>
      </c>
      <c r="L452" s="37">
        <v>6</v>
      </c>
      <c r="M452" s="37">
        <v>6</v>
      </c>
      <c r="N452" s="37">
        <v>6</v>
      </c>
      <c r="O452" s="37">
        <v>6</v>
      </c>
      <c r="P452" s="37">
        <v>6</v>
      </c>
      <c r="Q452" s="37">
        <v>6</v>
      </c>
      <c r="R452" s="37">
        <v>6</v>
      </c>
      <c r="S452" s="37">
        <v>6</v>
      </c>
      <c r="T452" s="37">
        <v>6</v>
      </c>
      <c r="U452" s="37">
        <v>6</v>
      </c>
      <c r="V452" s="37">
        <v>6</v>
      </c>
      <c r="W452" s="37">
        <v>6</v>
      </c>
      <c r="X452" s="37">
        <v>6</v>
      </c>
      <c r="Y452" s="37">
        <v>6</v>
      </c>
      <c r="Z452" s="37">
        <v>6</v>
      </c>
      <c r="AA452" s="37">
        <v>6</v>
      </c>
      <c r="AB452" s="37">
        <v>6</v>
      </c>
      <c r="AC452" s="37">
        <v>6</v>
      </c>
      <c r="AD452" s="37">
        <v>6</v>
      </c>
      <c r="AE452" s="37">
        <v>6</v>
      </c>
      <c r="AF452" s="37">
        <v>6</v>
      </c>
      <c r="AG452" s="37">
        <v>6</v>
      </c>
      <c r="AH452" s="37">
        <v>6</v>
      </c>
      <c r="AI452" s="37">
        <v>6</v>
      </c>
      <c r="AJ452" s="37">
        <v>6</v>
      </c>
    </row>
    <row r="453" spans="1:36" ht="80.099999999999994" customHeight="1">
      <c r="A453" s="131"/>
      <c r="B453" s="101"/>
      <c r="C453" s="78"/>
      <c r="D453" s="60"/>
      <c r="E453" s="94"/>
      <c r="F453" s="120"/>
      <c r="G453" s="26"/>
      <c r="H453" s="26"/>
      <c r="J453" s="57">
        <f>SUM(J11:J452)</f>
        <v>9260</v>
      </c>
      <c r="K453" s="57">
        <f>SUM(K11:K452)</f>
        <v>8813</v>
      </c>
      <c r="L453" s="57">
        <f>SUM(L11:L452)</f>
        <v>7170</v>
      </c>
      <c r="M453" s="57">
        <f>SUM(M11:M452)</f>
        <v>7985</v>
      </c>
      <c r="N453" s="57">
        <f>SUM(N11:N452)</f>
        <v>8790</v>
      </c>
      <c r="O453" s="57">
        <f>SUM(O11:O452)</f>
        <v>8132</v>
      </c>
      <c r="P453" s="57">
        <f>SUM(P11:P452)</f>
        <v>7925</v>
      </c>
      <c r="Q453" s="57">
        <f>SUM(Q11:Q452)</f>
        <v>9078</v>
      </c>
      <c r="R453" s="57">
        <f>SUM(R11:R452)</f>
        <v>7683</v>
      </c>
      <c r="S453" s="57">
        <f>SUM(S11:S452)</f>
        <v>9022</v>
      </c>
      <c r="T453" s="57">
        <f>SUM(T11:T452)</f>
        <v>10960</v>
      </c>
      <c r="U453" s="57">
        <f>SUM(U11:U452)</f>
        <v>10777</v>
      </c>
      <c r="V453" s="57">
        <f>SUM(V11:V452)</f>
        <v>12296</v>
      </c>
      <c r="W453" s="57">
        <f>SUM(W11:W452)</f>
        <v>11538</v>
      </c>
      <c r="X453" s="57">
        <f>SUM(X11:X452)</f>
        <v>11424</v>
      </c>
      <c r="Y453" s="57">
        <f>SUM(Y11:Y452)</f>
        <v>10914</v>
      </c>
      <c r="Z453" s="57">
        <f>SUM(Z11:Z452)</f>
        <v>11809</v>
      </c>
      <c r="AA453" s="57">
        <f>SUM(AA11:AA452)</f>
        <v>11016</v>
      </c>
      <c r="AB453" s="57">
        <f>SUM(AB2:AB452)</f>
        <v>10359</v>
      </c>
      <c r="AC453" s="57">
        <f>SUM(AC2:AC452)</f>
        <v>9281</v>
      </c>
      <c r="AD453" s="57">
        <f>SUM(AD2:AD452)</f>
        <v>9401</v>
      </c>
      <c r="AE453" s="57">
        <f>SUM(AE2:AE452)</f>
        <v>10126</v>
      </c>
      <c r="AF453" s="57">
        <f>SUM(AF2:AF452)</f>
        <v>9756</v>
      </c>
      <c r="AG453" s="57">
        <f>SUM(AG2:AG452)</f>
        <v>10154</v>
      </c>
      <c r="AH453" s="57">
        <f>SUM(AH2:AH452)</f>
        <v>10863</v>
      </c>
      <c r="AI453" s="57">
        <f>SUM(AI2:AI452)</f>
        <v>10473</v>
      </c>
      <c r="AJ453" s="57">
        <f>SUM(AJ2:AJ452)</f>
        <v>10703</v>
      </c>
    </row>
    <row r="454" spans="1:36" ht="80.099999999999994" customHeight="1">
      <c r="A454" s="122"/>
      <c r="B454" s="74"/>
      <c r="C454" s="78"/>
      <c r="D454" s="121"/>
      <c r="E454" s="76"/>
      <c r="F454" s="77"/>
      <c r="G454" s="27"/>
      <c r="H454" s="27"/>
    </row>
    <row r="455" spans="1:36" ht="80.099999999999994" customHeight="1">
      <c r="A455" s="122"/>
      <c r="B455" s="74"/>
      <c r="C455" s="78"/>
      <c r="D455" s="121"/>
      <c r="E455" s="76"/>
      <c r="F455" s="77"/>
      <c r="G455" s="27"/>
      <c r="H455" s="27"/>
    </row>
    <row r="456" spans="1:36" ht="80.099999999999994" customHeight="1">
      <c r="A456" s="122"/>
      <c r="B456" s="74"/>
      <c r="C456" s="78"/>
      <c r="D456" s="121"/>
      <c r="E456" s="76"/>
      <c r="F456" s="77"/>
      <c r="G456" s="27"/>
      <c r="H456" s="27"/>
    </row>
    <row r="457" spans="1:36" ht="80.099999999999994" customHeight="1">
      <c r="A457" s="122"/>
      <c r="B457" s="80"/>
      <c r="C457" s="117"/>
      <c r="D457" s="74"/>
      <c r="E457" s="80"/>
      <c r="G457" s="23"/>
      <c r="H457" s="23"/>
    </row>
    <row r="458" spans="1:36" ht="80.099999999999994" customHeight="1">
      <c r="A458" s="122"/>
      <c r="B458" s="80"/>
      <c r="C458" s="117"/>
      <c r="D458" s="74"/>
      <c r="E458" s="80"/>
      <c r="G458" s="23"/>
      <c r="H458" s="23"/>
    </row>
    <row r="459" spans="1:36" ht="80.099999999999994" customHeight="1">
      <c r="A459" s="122"/>
      <c r="B459" s="80"/>
      <c r="C459" s="117"/>
      <c r="D459" s="74"/>
      <c r="E459" s="80"/>
      <c r="G459" s="23"/>
      <c r="H459" s="23"/>
    </row>
    <row r="460" spans="1:36" ht="80.099999999999994" customHeight="1">
      <c r="A460" s="122"/>
      <c r="B460" s="80"/>
      <c r="C460" s="117"/>
      <c r="D460" s="74"/>
      <c r="E460" s="80"/>
      <c r="G460" s="23"/>
      <c r="H460" s="23"/>
    </row>
    <row r="461" spans="1:36" ht="80.099999999999994" customHeight="1">
      <c r="A461" s="122"/>
      <c r="B461" s="80"/>
      <c r="C461" s="117"/>
      <c r="D461" s="74"/>
      <c r="E461" s="80"/>
      <c r="G461" s="23"/>
      <c r="H461" s="23"/>
    </row>
    <row r="462" spans="1:36" ht="80.099999999999994" customHeight="1">
      <c r="A462" s="122"/>
      <c r="B462" s="80"/>
      <c r="C462" s="117"/>
      <c r="D462" s="74"/>
      <c r="E462" s="80"/>
      <c r="G462" s="23"/>
      <c r="H462" s="23"/>
    </row>
    <row r="463" spans="1:36" ht="80.099999999999994" customHeight="1">
      <c r="A463" s="122"/>
      <c r="B463" s="80"/>
      <c r="C463" s="117"/>
      <c r="D463" s="74"/>
      <c r="E463" s="80"/>
      <c r="G463" s="23"/>
      <c r="H463" s="23"/>
    </row>
    <row r="464" spans="1:36" ht="80.099999999999994" customHeight="1">
      <c r="A464" s="122"/>
      <c r="B464" s="80"/>
      <c r="C464" s="117"/>
      <c r="D464" s="74"/>
      <c r="E464" s="80"/>
      <c r="G464" s="23"/>
      <c r="H464" s="23"/>
    </row>
    <row r="465" spans="1:8" ht="80.099999999999994" customHeight="1">
      <c r="A465" s="122"/>
      <c r="B465" s="80"/>
      <c r="C465" s="117"/>
      <c r="D465" s="74"/>
      <c r="E465" s="80"/>
      <c r="G465" s="23"/>
      <c r="H465" s="23"/>
    </row>
    <row r="466" spans="1:8" ht="80.099999999999994" customHeight="1">
      <c r="A466" s="122"/>
      <c r="B466" s="80"/>
      <c r="C466" s="117"/>
      <c r="D466" s="74"/>
      <c r="E466" s="80"/>
      <c r="G466" s="23"/>
      <c r="H466" s="23"/>
    </row>
    <row r="467" spans="1:8" ht="80.099999999999994" customHeight="1">
      <c r="A467" s="122"/>
      <c r="B467" s="80"/>
      <c r="C467" s="117"/>
      <c r="D467" s="74"/>
      <c r="E467" s="80"/>
      <c r="G467" s="23"/>
      <c r="H467" s="23"/>
    </row>
    <row r="468" spans="1:8" ht="80.099999999999994" customHeight="1">
      <c r="A468" s="122"/>
      <c r="B468" s="80"/>
      <c r="C468" s="117"/>
      <c r="D468" s="74"/>
      <c r="E468" s="80"/>
      <c r="G468" s="23"/>
      <c r="H468" s="23"/>
    </row>
    <row r="469" spans="1:8" ht="80.099999999999994" customHeight="1">
      <c r="A469" s="122"/>
      <c r="B469" s="80"/>
      <c r="C469" s="117"/>
      <c r="D469" s="74"/>
      <c r="E469" s="80"/>
      <c r="G469" s="23"/>
      <c r="H469" s="23"/>
    </row>
    <row r="470" spans="1:8" ht="80.099999999999994" customHeight="1">
      <c r="A470" s="122"/>
      <c r="B470" s="80"/>
      <c r="C470" s="117"/>
      <c r="D470" s="74"/>
      <c r="E470" s="80"/>
      <c r="G470" s="23"/>
      <c r="H470" s="23"/>
    </row>
    <row r="471" spans="1:8" ht="80.099999999999994" customHeight="1">
      <c r="A471" s="122"/>
      <c r="B471" s="80"/>
      <c r="C471" s="117"/>
      <c r="D471" s="74"/>
      <c r="E471" s="80"/>
      <c r="G471" s="23"/>
      <c r="H471" s="23"/>
    </row>
    <row r="472" spans="1:8" ht="80.099999999999994" customHeight="1">
      <c r="A472" s="122"/>
      <c r="B472" s="80"/>
      <c r="C472" s="117"/>
      <c r="D472" s="74"/>
      <c r="E472" s="80"/>
      <c r="G472" s="23"/>
      <c r="H472" s="23"/>
    </row>
    <row r="473" spans="1:8" ht="80.099999999999994" customHeight="1">
      <c r="A473" s="122"/>
      <c r="B473" s="80"/>
      <c r="C473" s="117"/>
      <c r="D473" s="74"/>
      <c r="E473" s="80"/>
      <c r="G473" s="23"/>
      <c r="H473" s="23"/>
    </row>
    <row r="474" spans="1:8" ht="80.099999999999994" customHeight="1">
      <c r="A474" s="122"/>
      <c r="B474" s="80"/>
      <c r="C474" s="117"/>
      <c r="D474" s="74"/>
      <c r="E474" s="80"/>
      <c r="G474" s="23"/>
      <c r="H474" s="23"/>
    </row>
    <row r="475" spans="1:8" ht="80.099999999999994" customHeight="1">
      <c r="A475" s="122"/>
      <c r="B475" s="80"/>
      <c r="C475" s="117"/>
      <c r="D475" s="74"/>
      <c r="E475" s="80"/>
      <c r="G475" s="23"/>
      <c r="H475" s="23"/>
    </row>
    <row r="476" spans="1:8" ht="80.099999999999994" customHeight="1">
      <c r="A476" s="122"/>
      <c r="B476" s="80"/>
      <c r="C476" s="117"/>
      <c r="D476" s="74"/>
      <c r="E476" s="80"/>
      <c r="G476" s="23"/>
      <c r="H476" s="23"/>
    </row>
    <row r="477" spans="1:8" ht="80.099999999999994" customHeight="1">
      <c r="A477" s="122"/>
      <c r="B477" s="80"/>
      <c r="C477" s="117"/>
      <c r="D477" s="74"/>
      <c r="E477" s="80"/>
      <c r="G477" s="23"/>
      <c r="H477" s="23"/>
    </row>
    <row r="478" spans="1:8" ht="80.099999999999994" customHeight="1">
      <c r="A478" s="122"/>
      <c r="B478" s="80"/>
      <c r="C478" s="117"/>
      <c r="D478" s="74"/>
      <c r="E478" s="80"/>
      <c r="G478" s="23"/>
      <c r="H478" s="23"/>
    </row>
    <row r="479" spans="1:8" ht="80.099999999999994" customHeight="1">
      <c r="A479" s="122"/>
      <c r="B479" s="80"/>
      <c r="C479" s="117"/>
      <c r="D479" s="74"/>
      <c r="E479" s="80"/>
      <c r="G479" s="23"/>
      <c r="H479" s="23"/>
    </row>
    <row r="480" spans="1:8" ht="80.099999999999994" customHeight="1">
      <c r="A480" s="122"/>
      <c r="B480" s="80"/>
      <c r="C480" s="117"/>
      <c r="D480" s="74"/>
      <c r="E480" s="80"/>
      <c r="G480" s="23"/>
      <c r="H480" s="23"/>
    </row>
    <row r="481" spans="1:8" ht="80.099999999999994" customHeight="1">
      <c r="A481" s="122"/>
      <c r="B481" s="80"/>
      <c r="C481" s="117"/>
      <c r="D481" s="74"/>
      <c r="E481" s="80"/>
      <c r="G481" s="23"/>
      <c r="H481" s="23"/>
    </row>
    <row r="482" spans="1:8" ht="80.099999999999994" customHeight="1">
      <c r="A482" s="122"/>
      <c r="B482" s="80"/>
      <c r="C482" s="117"/>
      <c r="D482" s="74"/>
      <c r="E482" s="80"/>
      <c r="G482" s="23"/>
      <c r="H482" s="23"/>
    </row>
    <row r="483" spans="1:8" ht="80.099999999999994" customHeight="1">
      <c r="A483" s="122"/>
      <c r="B483" s="80"/>
      <c r="C483" s="117"/>
      <c r="D483" s="74"/>
      <c r="E483" s="80"/>
      <c r="G483" s="23"/>
      <c r="H483" s="23"/>
    </row>
    <row r="484" spans="1:8" ht="80.099999999999994" customHeight="1">
      <c r="A484" s="122"/>
      <c r="B484" s="80"/>
      <c r="C484" s="117"/>
      <c r="D484" s="74"/>
      <c r="E484" s="80"/>
      <c r="G484" s="23"/>
      <c r="H484" s="23"/>
    </row>
    <row r="485" spans="1:8" ht="80.099999999999994" customHeight="1">
      <c r="A485" s="122"/>
      <c r="B485" s="80"/>
      <c r="C485" s="117"/>
      <c r="D485" s="74"/>
      <c r="E485" s="80"/>
      <c r="G485" s="23"/>
      <c r="H485" s="23"/>
    </row>
    <row r="486" spans="1:8" ht="80.099999999999994" customHeight="1">
      <c r="A486" s="122"/>
      <c r="B486" s="80"/>
      <c r="C486" s="117"/>
      <c r="D486" s="74"/>
      <c r="E486" s="80"/>
      <c r="G486" s="23"/>
      <c r="H486" s="23"/>
    </row>
    <row r="487" spans="1:8" ht="80.099999999999994" customHeight="1">
      <c r="A487" s="122"/>
      <c r="B487" s="80"/>
      <c r="C487" s="117"/>
      <c r="D487" s="74"/>
      <c r="E487" s="80"/>
      <c r="G487" s="23"/>
      <c r="H487" s="23"/>
    </row>
    <row r="488" spans="1:8" ht="80.099999999999994" customHeight="1">
      <c r="A488" s="122"/>
      <c r="B488" s="80"/>
      <c r="C488" s="117"/>
      <c r="D488" s="74"/>
      <c r="E488" s="80"/>
      <c r="G488" s="23"/>
      <c r="H488" s="23"/>
    </row>
    <row r="489" spans="1:8" ht="80.099999999999994" customHeight="1">
      <c r="A489" s="122"/>
      <c r="B489" s="80"/>
      <c r="C489" s="117"/>
      <c r="D489" s="74"/>
      <c r="E489" s="80"/>
      <c r="G489" s="23"/>
      <c r="H489" s="23"/>
    </row>
    <row r="490" spans="1:8" ht="80.099999999999994" customHeight="1">
      <c r="A490" s="122"/>
      <c r="B490" s="80"/>
      <c r="C490" s="117"/>
      <c r="D490" s="74"/>
      <c r="E490" s="80"/>
      <c r="G490" s="23"/>
      <c r="H490" s="23"/>
    </row>
    <row r="491" spans="1:8" ht="80.099999999999994" customHeight="1">
      <c r="A491" s="122"/>
      <c r="B491" s="80"/>
      <c r="C491" s="117"/>
      <c r="D491" s="74"/>
      <c r="E491" s="80"/>
      <c r="G491" s="23"/>
      <c r="H491" s="23"/>
    </row>
    <row r="492" spans="1:8" ht="80.099999999999994" customHeight="1">
      <c r="A492" s="122"/>
      <c r="B492" s="80"/>
      <c r="C492" s="117"/>
      <c r="D492" s="74"/>
      <c r="E492" s="80"/>
      <c r="G492" s="23"/>
      <c r="H492" s="23"/>
    </row>
    <row r="493" spans="1:8" ht="80.099999999999994" customHeight="1">
      <c r="A493" s="122"/>
      <c r="B493" s="80"/>
      <c r="C493" s="117"/>
      <c r="D493" s="74"/>
      <c r="E493" s="80"/>
      <c r="G493" s="23"/>
      <c r="H493" s="23"/>
    </row>
    <row r="494" spans="1:8" ht="80.099999999999994" customHeight="1">
      <c r="A494" s="122"/>
      <c r="B494" s="80"/>
      <c r="C494" s="117"/>
      <c r="D494" s="74"/>
      <c r="E494" s="80"/>
      <c r="G494" s="23"/>
      <c r="H494" s="23"/>
    </row>
    <row r="495" spans="1:8" ht="80.099999999999994" customHeight="1">
      <c r="A495" s="122"/>
      <c r="B495" s="80"/>
      <c r="C495" s="117"/>
      <c r="D495" s="74"/>
      <c r="E495" s="80"/>
      <c r="G495" s="23"/>
      <c r="H495" s="23"/>
    </row>
    <row r="496" spans="1:8" ht="80.099999999999994" customHeight="1">
      <c r="A496" s="122"/>
      <c r="B496" s="80"/>
      <c r="C496" s="117"/>
      <c r="D496" s="74"/>
      <c r="E496" s="80"/>
      <c r="G496" s="23"/>
      <c r="H496" s="23"/>
    </row>
    <row r="497" spans="1:8" ht="80.099999999999994" customHeight="1">
      <c r="A497" s="122"/>
      <c r="B497" s="80"/>
      <c r="C497" s="117"/>
      <c r="D497" s="74"/>
      <c r="E497" s="80"/>
      <c r="G497" s="23"/>
      <c r="H497" s="23"/>
    </row>
    <row r="498" spans="1:8" ht="80.099999999999994" customHeight="1">
      <c r="A498" s="122"/>
      <c r="B498" s="80"/>
      <c r="C498" s="117"/>
      <c r="D498" s="74"/>
      <c r="E498" s="80"/>
      <c r="G498" s="23"/>
      <c r="H498" s="23"/>
    </row>
    <row r="499" spans="1:8" ht="80.099999999999994" customHeight="1">
      <c r="A499" s="122"/>
      <c r="B499" s="80"/>
      <c r="C499" s="117"/>
      <c r="D499" s="74"/>
      <c r="E499" s="80"/>
      <c r="G499" s="23"/>
      <c r="H499" s="23"/>
    </row>
    <row r="500" spans="1:8" ht="80.099999999999994" customHeight="1">
      <c r="A500" s="122"/>
      <c r="B500" s="80"/>
      <c r="C500" s="117"/>
      <c r="D500" s="74"/>
      <c r="E500" s="80"/>
      <c r="G500" s="23"/>
      <c r="H500" s="23"/>
    </row>
    <row r="501" spans="1:8" ht="80.099999999999994" customHeight="1">
      <c r="A501" s="122"/>
      <c r="B501" s="80"/>
      <c r="C501" s="117"/>
      <c r="D501" s="74"/>
      <c r="E501" s="80"/>
      <c r="G501" s="23"/>
      <c r="H501" s="23"/>
    </row>
    <row r="502" spans="1:8" ht="80.099999999999994" customHeight="1">
      <c r="A502" s="122"/>
      <c r="B502" s="80"/>
      <c r="C502" s="117"/>
      <c r="D502" s="74"/>
      <c r="E502" s="80"/>
      <c r="G502" s="23"/>
      <c r="H502" s="23"/>
    </row>
    <row r="503" spans="1:8" ht="80.099999999999994" customHeight="1">
      <c r="A503" s="122"/>
      <c r="B503" s="80"/>
      <c r="C503" s="117"/>
      <c r="D503" s="74"/>
      <c r="E503" s="80"/>
      <c r="G503" s="23"/>
      <c r="H503" s="23"/>
    </row>
    <row r="504" spans="1:8" ht="80.099999999999994" customHeight="1">
      <c r="A504" s="122"/>
      <c r="B504" s="80"/>
      <c r="C504" s="117"/>
      <c r="D504" s="74"/>
      <c r="E504" s="80"/>
      <c r="G504" s="23"/>
      <c r="H504" s="23"/>
    </row>
    <row r="505" spans="1:8" ht="80.099999999999994" customHeight="1">
      <c r="A505" s="122"/>
      <c r="B505" s="80"/>
      <c r="C505" s="117"/>
      <c r="D505" s="74"/>
      <c r="E505" s="80"/>
      <c r="G505" s="23"/>
      <c r="H505" s="23"/>
    </row>
    <row r="506" spans="1:8" ht="80.099999999999994" customHeight="1">
      <c r="A506" s="122"/>
      <c r="B506" s="80"/>
      <c r="C506" s="117"/>
      <c r="D506" s="74"/>
      <c r="E506" s="80"/>
      <c r="G506" s="23"/>
      <c r="H506" s="23"/>
    </row>
  </sheetData>
  <autoFilter ref="A1:AJ452">
    <sortState ref="A2:AJ453">
      <sortCondition ref="C1:C453"/>
    </sortState>
  </autoFilter>
  <phoneticPr fontId="27" type="noConversion"/>
  <hyperlinks>
    <hyperlink ref="C421" display="VH-75H1-4FZG"/>
    <hyperlink ref="C39" display="4P-66YK-I4LS"/>
    <hyperlink ref="C437" display="Y2-0SOS-KG91"/>
    <hyperlink ref="C81" display="9Y-U387-N2E3"/>
    <hyperlink ref="C164" display="NA-YQM8-1J6C"/>
    <hyperlink ref="C110" display="EZ-3NAH-HNXH"/>
    <hyperlink ref="C210" display="UJ-W9XQ-8HGP"/>
    <hyperlink ref="C450" display="ZF-0G13-LICS"/>
    <hyperlink ref="C58" display="7I-CNNL-BLGW"/>
    <hyperlink ref="C62" display="7T-8CB5-W7MO"/>
    <hyperlink ref="C179" display="Q7-JDJ6-EJ35"/>
    <hyperlink ref="C102" display="CR-3GUA-PJI2"/>
    <hyperlink ref="C157" display="MP-N3MM-GOKC"/>
    <hyperlink ref="C54" display="6L-ARRK-AQZG"/>
    <hyperlink ref="C186" display="QL-6K97-XCE3"/>
    <hyperlink ref="C53" display="69-16B9-6W6A"/>
    <hyperlink ref="C56" display="7F-INXL-THM2"/>
    <hyperlink ref="C31" display="49-2TEC-QEAT"/>
    <hyperlink ref="C118" display="GC-KQIQ-8933"/>
    <hyperlink ref="C29" display="43-REU7-TNMH"/>
    <hyperlink ref="C30" display="47-5Q7T-1N7Z"/>
    <hyperlink ref="C424" display="VV-2FZI-PELR"/>
    <hyperlink ref="C101" display="CL-8R8S-UTJV"/>
    <hyperlink ref="C134" display="JB-ZJIT-3SK8"/>
    <hyperlink ref="C137" display="K3-Q9M1-03NV"/>
    <hyperlink ref="C120" display="GF-91BG-XIFJ"/>
    <hyperlink ref="C444" display="YM-FNSI-JAZL"/>
    <hyperlink ref="C188" display="R3-S2E9-LDQ4"/>
    <hyperlink ref="C80" display="9Y-6L8R-8YHT"/>
    <hyperlink ref="C180" display="QF-OY0M-N30R"/>
    <hyperlink ref="C449" display="Z7-ISRG-IAB2"/>
    <hyperlink ref="C130" display="I4-GWHC-MXL4"/>
    <hyperlink ref="C177" display="PZ-4YFU-6J5E"/>
    <hyperlink ref="C87" display="AZ-AO0H-8L9Y"/>
    <hyperlink ref="C7" display="12-ZVBN-DJRI"/>
    <hyperlink ref="C28" display="3X-V6I4-KO2Q"/>
    <hyperlink ref="C68" display="8L-344B-YDSZ"/>
    <hyperlink ref="C37" display="4J-6ACH-N0IF"/>
    <hyperlink ref="C36" display="4G-BGQ7-ELT0"/>
    <hyperlink ref="C196" display="RV-VU56-ZABJ"/>
    <hyperlink ref="C97" display="CA-BNNA-7E6N"/>
    <hyperlink ref="C50" display="5T-DN85-DPN4"/>
    <hyperlink ref="C66" display="8B-HKV8-6TBV"/>
    <hyperlink ref="C41" display="4U-M0MQ-8T50"/>
    <hyperlink ref="C443" display="YF-OC8A-4LCZ"/>
    <hyperlink ref="C158" display="MX-D9IS-ZPS4"/>
    <hyperlink ref="C48" display="5O-D3XP-4DY1"/>
    <hyperlink ref="C191" display="RA-LY4S-5AD6"/>
    <hyperlink ref="C427" display="WB-67TR-UJW3"/>
    <hyperlink ref="C178" display="Q2-J1FE-7XCM"/>
    <hyperlink ref="C82" display="A7-GQB4-WNW4"/>
    <hyperlink ref="C182" display="QG-HPDO-BJCZ"/>
    <hyperlink ref="C67" display="8F-TPPE-ICZ7"/>
    <hyperlink ref="C60" display="7Q-7IYE-HGA9"/>
    <hyperlink ref="C183" display="QH-BPPC-H6MT"/>
    <hyperlink ref="C197" display="SL-YEEZ-2V3L"/>
    <hyperlink ref="C38" display="4J-Q8HW-0YHZ"/>
    <hyperlink ref="C19" display="2K-4FB4-SWQJ"/>
    <hyperlink ref="C432" display="X1-32VA-G908"/>
    <hyperlink ref="C107" display="DV-PWGK-0SU9"/>
    <hyperlink ref="C3" display="0A-4VQZ-L9SA"/>
    <hyperlink ref="C187" display="QR-36SF-XG96"/>
    <hyperlink ref="C167" display="NW-W2VN-FGP6"/>
    <hyperlink ref="C431" display="WX-V1AH-585V"/>
    <hyperlink ref="C27" display="3W-DPP9-3SO9"/>
    <hyperlink ref="C83" display="A8-2UJW-BNUW"/>
    <hyperlink ref="C150" display="M4-9K11-HV3K"/>
    <hyperlink ref="C419" display="V8-YZMP-BSYW"/>
    <hyperlink ref="C171" display="OK-57KC-VJYA"/>
    <hyperlink ref="C430" display="WK-LV4Z-RD90"/>
    <hyperlink ref="C425" display="VX-7I3H-X6GA"/>
    <hyperlink ref="C168" display="NZ-PGCY-J9CD"/>
    <hyperlink ref="C125" display="GY-RCU0-T2VY"/>
    <hyperlink ref="C151" display="M6-9K7D-83IA"/>
    <hyperlink ref="C129" display="HZ-GKXD-ML7V"/>
    <hyperlink ref="C104" display="D9-6P2P-CLWN"/>
    <hyperlink ref="C33" display="4B-M6U7-B23P"/>
    <hyperlink ref="C26" display="3M-QNFN-JKAN"/>
    <hyperlink ref="C147" display="LJ-WBN2-F0BZ"/>
    <hyperlink ref="C426" display="W9-O8HY-GYED"/>
    <hyperlink ref="C452" display="ZY-2N6C-ET6I"/>
    <hyperlink ref="C433" display="X2-D5JB-11WI"/>
    <hyperlink ref="C89" display="B0-JRQH-MO4V"/>
    <hyperlink ref="C132" display="J6-TNC3-OFOM"/>
    <hyperlink ref="C57" display="7F-V53B-UGD3"/>
    <hyperlink ref="C113" display="FC-B163-7H6W"/>
    <hyperlink ref="C422" display="VN-WRF5-WYB6"/>
    <hyperlink ref="C116" display="G0-KUJJ-4SQ2"/>
    <hyperlink ref="C45" display="5B-PQ3E-YZ3R"/>
    <hyperlink ref="C205" display="TO-5QQO-K2QY"/>
    <hyperlink ref="C209" display="UI-EHA0-UMFN"/>
    <hyperlink ref="C204" display="TM-LQUX-MQPF"/>
    <hyperlink ref="C109" display="ER-R144-1K1Q"/>
    <hyperlink ref="C155" display="ML-IW62-GIH5"/>
    <hyperlink ref="C114" display="FK-WY5F-U7WB"/>
    <hyperlink ref="C51" display="5V-2NEK-ZJJY"/>
    <hyperlink ref="C46" display="5K-J16B-1Y7T"/>
    <hyperlink ref="C199" display="SU-QCHK-NCVS"/>
    <hyperlink ref="G13" display="韩国两客机碰撞"/>
    <hyperlink ref="C86" display="AR-N0UA-EP6H"/>
    <hyperlink ref="C119" display="GD-FK32-Q4WQ"/>
    <hyperlink ref="C185" display="QI-Y71V-MGEC"/>
    <hyperlink ref="C141" display="KT-GN9G-5DQ9"/>
    <hyperlink ref="C136" display="JR-Z39A-EBME"/>
    <hyperlink ref="C208" display="UH-NWGW-KH8P"/>
    <hyperlink ref="C447" display="YT-Z657-6WTL"/>
    <hyperlink ref="C93" display="BI-0GDO-DNMT"/>
    <hyperlink ref="C436" display="XU-OQ1A-XGRA"/>
    <hyperlink ref="C207" display="UE-RG8X-M4JU"/>
    <hyperlink ref="C149" display="M1-QIF5-9N3R"/>
    <hyperlink ref="C4" display="0J-LOY1-TR0F"/>
    <hyperlink ref="C47" display="5M-H6A2-C5M5"/>
    <hyperlink ref="C105" display="DC-GJ8B-VANR"/>
    <hyperlink ref="C108" display="E0-PWA2-RV4X"/>
    <hyperlink ref="C44" display="57-BE2R-RLNP"/>
    <hyperlink ref="C71" display="8Y-4TCH-IEIA"/>
    <hyperlink ref="C131" display="IR-XC7D-YSKM"/>
    <hyperlink ref="C61" display="7Q-MHS0-UGZN"/>
    <hyperlink ref="C100" display="CK-8520-BXF1"/>
    <hyperlink ref="C106" display="DP-F4FH-EK59"/>
    <hyperlink ref="C79" display="9T-ESF5-913K"/>
    <hyperlink ref="C142" display="KV-3UD1-OPEQ"/>
    <hyperlink ref="C175" display="PJ-ZM5O-M4GL"/>
    <hyperlink ref="C98" display="CA-QT2G-HIUQ"/>
    <hyperlink ref="C12" display="1L-9LC3-PVEW"/>
    <hyperlink ref="C201" display="SZ-I4MQ-P8WY"/>
    <hyperlink ref="C195" display="RS-T8K2-KW12"/>
    <hyperlink ref="C184" display="QH-V66D-OJ61"/>
    <hyperlink ref="C75" display="9J-SFXQ-U8J0"/>
    <hyperlink ref="C43" display="56-1TR7-L8S8"/>
    <hyperlink ref="C203" display="TG-MXOJ-ASZM"/>
    <hyperlink ref="C200" display="SU-SF5U-7ZLH"/>
    <hyperlink ref="C25" display="3H-POHQ-O0DC"/>
    <hyperlink ref="C20" display="2M-E4KI-Q8OF"/>
    <hyperlink ref="C434" display="X3-QWB7-AL9Z"/>
    <hyperlink ref="C59" display="7K-0AHB-RVC4"/>
    <hyperlink ref="C85" display="AI-19YF-NNHE"/>
    <hyperlink ref="C77" display="9M-FWQI-JX20"/>
    <hyperlink ref="C133" display="J9-N3DU-53YS"/>
    <hyperlink ref="C123" display="GT-TM0P-S3E4"/>
    <hyperlink ref="C128" display="HJ-NIFN-G08M"/>
    <hyperlink ref="C78" display="9Q-Q57C-N58I"/>
    <hyperlink ref="C172" display="OK-6CD0-PPYA"/>
    <hyperlink ref="C423" display="VO-EF0S-QYAQ"/>
    <hyperlink ref="C117" display="G1-01AG-TLIL"/>
    <hyperlink ref="C417" display="UX-T0FH-IE2H"/>
    <hyperlink ref="C189" display="R7-4J5P-E51A"/>
    <hyperlink ref="C173" display="OW-M6UN-54PB"/>
    <hyperlink ref="C84" display="AA-SREZ-1CCQ"/>
    <hyperlink ref="C65" display="8A-5AVS-1AB1"/>
    <hyperlink ref="C42" display="4V-3JD6-BEME"/>
    <hyperlink ref="C76" display="9K-FU3G-JNMK"/>
    <hyperlink ref="C32" display="49-MN4Q-KWC9"/>
    <hyperlink ref="C181" display="QG-6NAW-23B2"/>
    <hyperlink ref="C126" display="HB-QJOK-E9FL"/>
    <hyperlink ref="C70" display="8R-L765-92VN"/>
    <hyperlink ref="C135" display="JP-ZLWL-E3S1"/>
    <hyperlink ref="C170" display="OI-I9MT-7FKL"/>
    <hyperlink ref="C111" display="F2-MM8H-A7L1"/>
    <hyperlink ref="C148" display="M1-44PI-OOOZ"/>
    <hyperlink ref="C420" display="VD-N7BW-1VM7"/>
    <hyperlink ref="C23" display="33-07FL-JAC6"/>
    <hyperlink ref="C2" display="02-BI23-N71J"/>
    <hyperlink ref="C6" display="10-TNCF-SX20"/>
    <hyperlink ref="C140" display="KK-RVIC-8TC9"/>
    <hyperlink ref="C10" display="18-FYNP-Z9IQ"/>
    <hyperlink ref="C169" display="NZ-TTIX-UDLB"/>
    <hyperlink ref="C127" display="HI-ULJR-3M1L"/>
    <hyperlink ref="C103" display="D0-BX1K-G3GG"/>
    <hyperlink ref="C99" display="CD-USLY-U5EO"/>
    <hyperlink ref="C16" display="1X-R5MG-2EWM"/>
    <hyperlink ref="C153" display="ME-CVWN-GVKB"/>
    <hyperlink ref="C94" display="BL-NTP0-3F3M"/>
    <hyperlink ref="C416" display="UW-R327-PC6H"/>
    <hyperlink ref="C52" display="62-VJQ5-AWH5"/>
    <hyperlink ref="C194" display="RP-GUE6-I0SH"/>
    <hyperlink ref="C156" display="MO-OX5K-HSTJ"/>
    <hyperlink ref="C293" display="UNYLN0022T"/>
    <hyperlink ref="C285" display="UNYLB0022T"/>
    <hyperlink ref="C286" display="UNYLB002S"/>
    <hyperlink ref="C284" display="UNYLB001S"/>
    <hyperlink ref="C214" display="UNYCB003S"/>
    <hyperlink ref="C287" display="UNYLB003"/>
    <hyperlink ref="C295" display="UNYLN003"/>
    <hyperlink ref="C354" display="UNYR00706"/>
    <hyperlink ref="C356" display="UNYR00708"/>
    <hyperlink ref="C269" display="UNYJS001"/>
    <hyperlink ref="C322" display="UNYR002PU07"/>
    <hyperlink ref="C220" display="UNYCB007BL"/>
    <hyperlink ref="C265" display="UNYDE002G"/>
    <hyperlink ref="C266" display="UNYDE002S"/>
    <hyperlink ref="C166" display="NJ-PCLF-4AK6"/>
    <hyperlink ref="C224" display="UNYCB008PU"/>
    <hyperlink ref="C222" display="UNYCB008CL"/>
    <hyperlink ref="C292" display="UNYLN001SS"/>
    <hyperlink ref="C294" display="UNYLN002SS"/>
    <hyperlink ref="C211" display="UNYCB00302"/>
    <hyperlink ref="C288" display="UNYLB00402"/>
    <hyperlink ref="C192" display="RJ-S3ZF-8YEI"/>
    <hyperlink ref="C355" display="UNYR0070702"/>
    <hyperlink ref="C174" display="P8-BRBA-CNNI"/>
    <hyperlink ref="C448" display="Z1-D8YF-4G5E"/>
    <hyperlink ref="C446" r:id="rId1" display="https://sellercentral.amazon.com/skucentral?mSku=YR-9P6P-CRPM&amp;ref=myi_skuc_itemdetails"/>
    <hyperlink ref="C73" r:id="rId2" display="https://sellercentral.amazon.com/skucentral?mSku=96-NWEH-IUB9&amp;ref=myi_skuc"/>
    <hyperlink ref="C63" r:id="rId3" display="https://sellercentral.amazon.com/skucentral?mSku=7T-GBK3-JLVF&amp;ref=myi_skuc"/>
    <hyperlink ref="C260" r:id="rId4" display="https://sellercentral.amazon.com/skucentral?mSku=UNYCB30022T&amp;ref=myi_skuc"/>
    <hyperlink ref="C261" r:id="rId5" display="https://sellercentral.amazon.com/skucentral?mSku=UNYCB3002G&amp;ref=myi_skuc"/>
    <hyperlink ref="C262" r:id="rId6" display="https://sellercentral.amazon.com/skucentral?mSku=UNYCB3002S&amp;ref=myi_skuc"/>
    <hyperlink ref="C263" r:id="rId7" display="https://sellercentral.amazon.com/skucentral?mSku=UNYCN001&amp;ref=myi_skuc"/>
    <hyperlink ref="C244" r:id="rId8" display="https://sellercentral.amazon.com/skucentral?mSku=UNYCB026&amp;ref=myi_skuc_itemdetails"/>
    <hyperlink ref="C245" r:id="rId9" display="https://sellercentral.amazon.com/skucentral?mSku=UNYCB027&amp;ref=myi_skuc_itemdetails"/>
    <hyperlink ref="C246" r:id="rId10" display="https://sellercentral.amazon.com/skucentral?mSku=UNYCB028&amp;ref=myi_skuc_itemdetails"/>
    <hyperlink ref="C223" r:id="rId11" display="https://sellercentral.amazon.com/skucentral?mSku=UNYCB008PK1&amp;ref=myi_skuc"/>
    <hyperlink ref="C228" r:id="rId12" display="https://sellercentral.amazon.com/skucentral?mSku=UNYCB0102TCL1&amp;ref=myi_skuc"/>
    <hyperlink ref="C231" r:id="rId13" display="https://sellercentral.amazon.com/skucentral?mSku=UNYCB011BL1&amp;ref=myi_skuc"/>
    <hyperlink ref="C240" r:id="rId14" display="https://sellercentral.amazon.com/skucentral?mSku=UNYCB015BL1&amp;ref=myi_skuc_itemdetails"/>
    <hyperlink ref="C410" r:id="rId15" display="https://sellercentral.amazon.com/skucentral?mSku=UNYWSB002B-650&amp;ref=myi_skuc_itemdetails"/>
    <hyperlink ref="C411" r:id="rId16" display="https://sellercentral.amazon.com/skucentral?mSku=UNYWSB002BLK-650&amp;ref=myi_skuc_itemdetails"/>
    <hyperlink ref="C165" r:id="rId17" display="https://sellercentral.amazon.com/skucentral?mSku=NF-2D5Z-E963&amp;ref=myi_skuc_itemdetails"/>
    <hyperlink ref="C92" r:id="rId18" display="https://sellercentral.amazon.com/skucentral?mSku=BD-RBMT-4S5P&amp;ref=myi_skuc_itemdetails"/>
    <hyperlink ref="C442" r:id="rId19" display="https://sellercentral.amazon.com/skucentral?mSku=YE-VP9Z-WM13&amp;ref=myi_skuc_itemdetails"/>
    <hyperlink ref="C74" r:id="rId20" display="https://sellercentral.amazon.com/skucentral?mSku=9D-IAB9-911R&amp;ref=myi_skuc_itemdetails"/>
    <hyperlink ref="C15" r:id="rId21" display="https://sellercentral.amazon.com/skucentral?mSku=1U-WJWA-4K0V&amp;ref=myi_skuc_itemdetails"/>
    <hyperlink ref="C14" r:id="rId22" display="https://sellercentral.amazon.com/skucentral?mSku=1R-EHH7-VHJ1&amp;ref=myi_skuc_itemdetails"/>
    <hyperlink ref="C90" r:id="rId23" display="https://sellercentral.amazon.com/skucentral?mSku=B3-WQ27-20R9&amp;ref=myi_skuc_itemdetails"/>
    <hyperlink ref="C8" r:id="rId24" display="https://sellercentral.amazon.com/skucentral?mSku=17-GUTU-IU6D&amp;ref=myi_skuc_itemdetails"/>
    <hyperlink ref="C139" r:id="rId25" display="https://sellercentral.amazon.com/skucentral?mSku=KC-OTYL-98KC&amp;ref=myi_skuc_itemdetails"/>
    <hyperlink ref="C206" r:id="rId26" display="https://sellercentral.amazon.com/skucentral?mSku=TY-5LFW-7M0O&amp;ref=myi_skuc_itemdetails"/>
    <hyperlink ref="C5" r:id="rId27" display="https://sellercentral.amazon.com/skucentral?mSku=0Q-DQ6C-IWY3&amp;ref=myi_skuc_itemdetails"/>
    <hyperlink ref="C96" r:id="rId28" display="https://sellercentral.amazon.com/skucentral?mSku=C9-GTF7-X70R&amp;ref=myi_skuc_itemdetails"/>
    <hyperlink ref="C95" r:id="rId29" display="https://sellercentral.amazon.com/skucentral?mSku=C8-4399-VBOM&amp;ref=myi_skuc_itemdetails"/>
    <hyperlink ref="C112" r:id="rId30" display="https://sellercentral.amazon.com/skucentral?mSku=F6-WE61-I4XS&amp;ref=myi_skuc_itemdetails"/>
    <hyperlink ref="C9" r:id="rId31" display="https://sellercentral.amazon.com/skucentral?mSku=17-LTEC-AXSL&amp;ref=myi_skuc"/>
    <hyperlink ref="C11" r:id="rId32" display="https://sellercentral.amazon.com/skucentral?mSku=1K-FF4S-W8YM&amp;ref=myi_skuc"/>
    <hyperlink ref="C190" r:id="rId33" display="https://sellercentral.amazon.com/skucentral?mSku=R7-MU2L-SG3M&amp;ref=myi_skuc"/>
    <hyperlink ref="C429" r:id="rId34" display="https://sellercentral.amazon.com/skucentral?mSku=WJ-8NIG-T65H&amp;ref=myi_skuc"/>
    <hyperlink ref="C143" r:id="rId35" display="https://sellercentral.amazon.com/skucentral?mSku=KY-EMY1-473J&amp;ref=myi_skuc"/>
  </hyperlinks>
  <pageMargins left="0.235416666666667" right="0.235416666666667" top="0.15625" bottom="0.15625" header="0.31388888888888899" footer="0.31388888888888899"/>
  <pageSetup paperSize="9" scale="10" fitToHeight="0" orientation="portrait" r:id="rId36"/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50" sqref="A50"/>
    </sheetView>
  </sheetViews>
  <sheetFormatPr defaultRowHeight="16.5"/>
  <cols>
    <col min="1" max="1" width="15.375" bestFit="1" customWidth="1"/>
    <col min="2" max="2" width="19.125" bestFit="1" customWidth="1"/>
    <col min="3" max="3" width="18.625" customWidth="1"/>
  </cols>
  <sheetData>
    <row r="1" spans="1:4" ht="80.25" customHeight="1">
      <c r="A1" s="2" t="s">
        <v>235</v>
      </c>
      <c r="B1" s="34" t="s">
        <v>997</v>
      </c>
      <c r="C1" s="16"/>
    </row>
    <row r="2" spans="1:4" ht="80.25" customHeight="1">
      <c r="A2" s="6" t="s">
        <v>22</v>
      </c>
      <c r="B2" s="3" t="s">
        <v>912</v>
      </c>
      <c r="C2" s="4"/>
    </row>
    <row r="3" spans="1:4" ht="80.25" customHeight="1">
      <c r="A3" s="2" t="s">
        <v>246</v>
      </c>
      <c r="B3" s="3" t="s">
        <v>247</v>
      </c>
      <c r="C3" s="4"/>
    </row>
    <row r="4" spans="1:4" ht="80.25" customHeight="1">
      <c r="A4" s="1" t="s">
        <v>408</v>
      </c>
      <c r="B4" s="3" t="s">
        <v>1005</v>
      </c>
      <c r="C4" s="4"/>
    </row>
    <row r="5" spans="1:4" ht="80.25" customHeight="1">
      <c r="A5" s="14" t="s">
        <v>169</v>
      </c>
      <c r="B5" s="8" t="s">
        <v>917</v>
      </c>
      <c r="C5" s="21"/>
    </row>
    <row r="6" spans="1:4" ht="80.25" customHeight="1">
      <c r="A6" s="2" t="s">
        <v>395</v>
      </c>
      <c r="B6" s="7" t="s">
        <v>928</v>
      </c>
      <c r="C6" s="4"/>
      <c r="D6" t="s">
        <v>1075</v>
      </c>
    </row>
    <row r="7" spans="1:4" ht="80.25" customHeight="1">
      <c r="A7" s="2" t="s">
        <v>1033</v>
      </c>
      <c r="B7" s="7" t="s">
        <v>1028</v>
      </c>
      <c r="C7" s="4"/>
      <c r="D7" t="s">
        <v>1075</v>
      </c>
    </row>
    <row r="8" spans="1:4" ht="80.25" customHeight="1">
      <c r="A8" s="2" t="s">
        <v>1032</v>
      </c>
      <c r="B8" s="7" t="s">
        <v>1029</v>
      </c>
      <c r="C8" s="4"/>
      <c r="D8" t="s">
        <v>1075</v>
      </c>
    </row>
    <row r="9" spans="1:4" ht="80.25" customHeight="1">
      <c r="A9" s="2" t="s">
        <v>1034</v>
      </c>
      <c r="B9" s="7" t="s">
        <v>1030</v>
      </c>
      <c r="C9" s="4"/>
      <c r="D9" t="s">
        <v>1073</v>
      </c>
    </row>
    <row r="10" spans="1:4" ht="80.25" customHeight="1">
      <c r="A10" s="2" t="s">
        <v>1032</v>
      </c>
      <c r="B10" s="7" t="s">
        <v>1031</v>
      </c>
      <c r="C10" s="4"/>
      <c r="D10" t="s">
        <v>1073</v>
      </c>
    </row>
    <row r="11" spans="1:4" ht="80.25" customHeight="1">
      <c r="A11" s="2" t="s">
        <v>704</v>
      </c>
      <c r="B11" s="7" t="s">
        <v>705</v>
      </c>
      <c r="C11" s="4">
        <v>6</v>
      </c>
    </row>
    <row r="12" spans="1:4" ht="80.25" customHeight="1">
      <c r="A12" s="2" t="s">
        <v>707</v>
      </c>
      <c r="B12" s="7" t="s">
        <v>1019</v>
      </c>
      <c r="C12" s="4">
        <v>7</v>
      </c>
    </row>
    <row r="13" spans="1:4" ht="80.25" customHeight="1">
      <c r="A13" s="2" t="s">
        <v>709</v>
      </c>
      <c r="B13" s="7" t="s">
        <v>710</v>
      </c>
      <c r="C13" s="4">
        <v>8</v>
      </c>
    </row>
    <row r="14" spans="1:4" ht="80.25" customHeight="1">
      <c r="A14" s="2" t="s">
        <v>712</v>
      </c>
      <c r="B14" s="7" t="s">
        <v>713</v>
      </c>
      <c r="C14" s="4">
        <v>9</v>
      </c>
    </row>
    <row r="15" spans="1:4" ht="80.25" customHeight="1">
      <c r="A15" s="2" t="s">
        <v>194</v>
      </c>
      <c r="B15" s="7" t="s">
        <v>195</v>
      </c>
      <c r="C15" s="4"/>
    </row>
    <row r="16" spans="1:4" ht="80.25" customHeight="1">
      <c r="A16" s="14" t="s">
        <v>826</v>
      </c>
      <c r="B16" s="15" t="s">
        <v>970</v>
      </c>
      <c r="C16" s="16"/>
      <c r="D16" t="s">
        <v>1073</v>
      </c>
    </row>
    <row r="17" spans="1:4" ht="80.25" customHeight="1">
      <c r="A17" s="14" t="s">
        <v>1026</v>
      </c>
      <c r="B17" s="52" t="s">
        <v>1021</v>
      </c>
      <c r="C17" s="16"/>
      <c r="D17" t="s">
        <v>1073</v>
      </c>
    </row>
    <row r="18" spans="1:4" ht="80.25" customHeight="1">
      <c r="A18" s="14" t="s">
        <v>1024</v>
      </c>
      <c r="B18" s="15" t="s">
        <v>1020</v>
      </c>
      <c r="C18" s="16"/>
      <c r="D18" t="s">
        <v>1074</v>
      </c>
    </row>
    <row r="19" spans="1:4" ht="80.25" customHeight="1">
      <c r="A19" s="14" t="s">
        <v>1027</v>
      </c>
      <c r="B19" s="52" t="s">
        <v>1023</v>
      </c>
      <c r="C19" s="16"/>
      <c r="D19" t="s">
        <v>1074</v>
      </c>
    </row>
    <row r="20" spans="1:4" ht="80.25" customHeight="1">
      <c r="A20" s="14" t="s">
        <v>1025</v>
      </c>
      <c r="B20" s="52" t="s">
        <v>1022</v>
      </c>
      <c r="C20" s="16"/>
      <c r="D20" t="s">
        <v>1075</v>
      </c>
    </row>
    <row r="21" spans="1:4" ht="80.25" customHeight="1">
      <c r="A21" s="2" t="s">
        <v>303</v>
      </c>
      <c r="B21" s="11" t="s">
        <v>922</v>
      </c>
      <c r="C21" s="35"/>
    </row>
    <row r="22" spans="1:4" ht="80.25" customHeight="1">
      <c r="A22" s="2" t="s">
        <v>377</v>
      </c>
      <c r="B22" s="48" t="s">
        <v>833</v>
      </c>
      <c r="C22" s="13"/>
    </row>
    <row r="23" spans="1:4" ht="80.25" customHeight="1">
      <c r="A23" s="17" t="s">
        <v>209</v>
      </c>
      <c r="B23" s="7" t="s">
        <v>979</v>
      </c>
      <c r="C23" s="19"/>
    </row>
    <row r="24" spans="1:4" ht="80.25" customHeight="1">
      <c r="A24" s="2" t="s">
        <v>311</v>
      </c>
      <c r="B24" s="3" t="s">
        <v>312</v>
      </c>
      <c r="C24" s="4"/>
    </row>
    <row r="25" spans="1:4" ht="80.25" customHeight="1">
      <c r="A25" s="2" t="s">
        <v>378</v>
      </c>
      <c r="B25" s="3" t="s">
        <v>379</v>
      </c>
      <c r="C25" s="4"/>
    </row>
    <row r="26" spans="1:4" ht="80.25" customHeight="1">
      <c r="A26" s="2" t="s">
        <v>618</v>
      </c>
      <c r="B26" s="40" t="s">
        <v>1016</v>
      </c>
      <c r="C26" s="41"/>
    </row>
    <row r="27" spans="1:4" ht="80.25" customHeight="1">
      <c r="A27" s="38" t="s">
        <v>637</v>
      </c>
      <c r="B27" s="40" t="s">
        <v>1017</v>
      </c>
      <c r="C27" s="42"/>
    </row>
    <row r="28" spans="1:4" ht="80.25" customHeight="1">
      <c r="A28" s="2" t="s">
        <v>573</v>
      </c>
      <c r="B28" s="7" t="s">
        <v>983</v>
      </c>
      <c r="C28" s="4"/>
    </row>
    <row r="29" spans="1:4" ht="80.25" customHeight="1">
      <c r="A29" s="14" t="s">
        <v>221</v>
      </c>
      <c r="B29" s="8" t="s">
        <v>920</v>
      </c>
      <c r="C29" s="9"/>
    </row>
    <row r="30" spans="1:4" ht="80.25" customHeight="1">
      <c r="A30" s="2" t="s">
        <v>612</v>
      </c>
      <c r="B30" s="3" t="s">
        <v>613</v>
      </c>
      <c r="C30" s="4"/>
    </row>
    <row r="31" spans="1:4" ht="80.25" customHeight="1">
      <c r="A31" s="2" t="s">
        <v>629</v>
      </c>
      <c r="B31" s="3" t="s">
        <v>984</v>
      </c>
      <c r="C31" s="4"/>
    </row>
    <row r="32" spans="1:4" ht="80.25" customHeight="1">
      <c r="A32" s="2" t="s">
        <v>575</v>
      </c>
      <c r="B32" s="3" t="s">
        <v>1015</v>
      </c>
      <c r="C32" s="4"/>
    </row>
    <row r="33" spans="1:3" ht="80.25" customHeight="1">
      <c r="A33" s="2" t="s">
        <v>631</v>
      </c>
      <c r="B33" s="3" t="s">
        <v>632</v>
      </c>
      <c r="C33" s="4"/>
    </row>
    <row r="34" spans="1:3" ht="80.25" customHeight="1">
      <c r="A34" s="2" t="s">
        <v>639</v>
      </c>
      <c r="B34" s="7" t="s">
        <v>1018</v>
      </c>
      <c r="C34" s="4">
        <v>5</v>
      </c>
    </row>
    <row r="35" spans="1:3" ht="80.25" customHeight="1">
      <c r="A35" s="17" t="s">
        <v>65</v>
      </c>
      <c r="B35" s="7" t="s">
        <v>975</v>
      </c>
      <c r="C35" s="18">
        <v>6</v>
      </c>
    </row>
    <row r="36" spans="1:3" ht="80.25" customHeight="1">
      <c r="A36" s="17" t="s">
        <v>166</v>
      </c>
      <c r="B36" s="7" t="s">
        <v>167</v>
      </c>
      <c r="C36" s="18">
        <v>7</v>
      </c>
    </row>
    <row r="37" spans="1:3" ht="80.25" customHeight="1">
      <c r="A37" s="2" t="s">
        <v>641</v>
      </c>
      <c r="B37" s="7" t="s">
        <v>956</v>
      </c>
      <c r="C37" s="4">
        <v>8</v>
      </c>
    </row>
    <row r="38" spans="1:3" ht="80.25" customHeight="1">
      <c r="A38" s="2" t="s">
        <v>429</v>
      </c>
      <c r="B38" s="7" t="s">
        <v>957</v>
      </c>
      <c r="C38" s="4">
        <v>9</v>
      </c>
    </row>
    <row r="39" spans="1:3" ht="80.25" customHeight="1">
      <c r="A39" s="2" t="s">
        <v>644</v>
      </c>
      <c r="B39" s="7" t="s">
        <v>958</v>
      </c>
      <c r="C39" s="4">
        <v>10</v>
      </c>
    </row>
    <row r="40" spans="1:3" ht="80.25" customHeight="1">
      <c r="A40" s="2" t="s">
        <v>646</v>
      </c>
      <c r="B40" s="7" t="s">
        <v>647</v>
      </c>
      <c r="C40" s="4">
        <v>11</v>
      </c>
    </row>
    <row r="41" spans="1:3" ht="80.25" customHeight="1">
      <c r="A41" s="54" t="s">
        <v>1041</v>
      </c>
      <c r="B41" s="55" t="s">
        <v>1044</v>
      </c>
      <c r="C41" s="13"/>
    </row>
    <row r="42" spans="1:3" ht="80.25" customHeight="1">
      <c r="A42" s="38" t="s">
        <v>760</v>
      </c>
      <c r="B42" s="40" t="s">
        <v>761</v>
      </c>
      <c r="C42" s="42">
        <v>6</v>
      </c>
    </row>
    <row r="43" spans="1:3" ht="80.25" customHeight="1">
      <c r="A43" s="2" t="s">
        <v>763</v>
      </c>
      <c r="B43" s="40" t="s">
        <v>960</v>
      </c>
      <c r="C43" s="41">
        <v>7</v>
      </c>
    </row>
    <row r="44" spans="1:3" ht="80.25" customHeight="1">
      <c r="A44" s="38" t="s">
        <v>765</v>
      </c>
      <c r="B44" s="40" t="s">
        <v>961</v>
      </c>
      <c r="C44" s="41">
        <v>8</v>
      </c>
    </row>
    <row r="45" spans="1:3" ht="80.25" customHeight="1">
      <c r="A45" s="14" t="s">
        <v>86</v>
      </c>
      <c r="B45" s="15" t="s">
        <v>913</v>
      </c>
      <c r="C45" s="16">
        <v>9</v>
      </c>
    </row>
    <row r="46" spans="1:3" ht="80.25" customHeight="1">
      <c r="A46" s="12" t="s">
        <v>37</v>
      </c>
      <c r="B46" s="11" t="s">
        <v>991</v>
      </c>
      <c r="C46" s="13"/>
    </row>
    <row r="47" spans="1:3" ht="80.25" customHeight="1">
      <c r="A47" s="2" t="s">
        <v>504</v>
      </c>
      <c r="B47" s="5" t="s">
        <v>505</v>
      </c>
      <c r="C47" s="4"/>
    </row>
    <row r="48" spans="1:3" ht="80.25" customHeight="1">
      <c r="A48" s="2" t="s">
        <v>604</v>
      </c>
      <c r="B48" s="7" t="s">
        <v>605</v>
      </c>
      <c r="C48" s="4"/>
    </row>
    <row r="49" spans="1:3" ht="80.25" customHeight="1">
      <c r="A49" s="2" t="s">
        <v>263</v>
      </c>
      <c r="B49" s="5" t="s">
        <v>1000</v>
      </c>
      <c r="C49" s="4"/>
    </row>
    <row r="50" spans="1:3" ht="80.25" customHeight="1">
      <c r="A50" s="2" t="s">
        <v>658</v>
      </c>
      <c r="B50" s="7" t="s">
        <v>659</v>
      </c>
      <c r="C50" s="4">
        <v>5</v>
      </c>
    </row>
    <row r="51" spans="1:3" ht="80.25" customHeight="1">
      <c r="A51" s="2" t="s">
        <v>424</v>
      </c>
      <c r="B51" s="15" t="s">
        <v>931</v>
      </c>
      <c r="C51" s="33">
        <v>6</v>
      </c>
    </row>
    <row r="52" spans="1:3" ht="80.25" customHeight="1">
      <c r="A52" s="2" t="s">
        <v>252</v>
      </c>
      <c r="B52" s="15" t="s">
        <v>253</v>
      </c>
      <c r="C52" s="16">
        <v>7</v>
      </c>
    </row>
    <row r="53" spans="1:3" ht="80.25" customHeight="1">
      <c r="A53" s="20" t="s">
        <v>260</v>
      </c>
      <c r="B53" s="15" t="s">
        <v>261</v>
      </c>
      <c r="C53" s="33">
        <v>8</v>
      </c>
    </row>
    <row r="54" spans="1:3" ht="80.25" customHeight="1">
      <c r="A54" s="2" t="s">
        <v>655</v>
      </c>
      <c r="B54" s="7" t="s">
        <v>656</v>
      </c>
      <c r="C54" s="4">
        <v>9</v>
      </c>
    </row>
    <row r="55" spans="1:3" ht="80.25" customHeight="1">
      <c r="A55" s="2" t="s">
        <v>316</v>
      </c>
      <c r="B55" s="7" t="s">
        <v>661</v>
      </c>
      <c r="C55" s="4">
        <v>10</v>
      </c>
    </row>
    <row r="56" spans="1:3" ht="80.25" customHeight="1">
      <c r="A56" s="2" t="s">
        <v>663</v>
      </c>
      <c r="B56" s="7" t="s">
        <v>664</v>
      </c>
      <c r="C56" s="4">
        <v>11</v>
      </c>
    </row>
    <row r="57" spans="1:3" ht="80.25" customHeight="1">
      <c r="A57" s="2" t="s">
        <v>790</v>
      </c>
      <c r="B57" s="15" t="s">
        <v>791</v>
      </c>
      <c r="C57" s="16">
        <v>6</v>
      </c>
    </row>
    <row r="58" spans="1:3" ht="80.25" customHeight="1">
      <c r="A58" s="2" t="s">
        <v>283</v>
      </c>
      <c r="B58" s="15" t="s">
        <v>1001</v>
      </c>
      <c r="C58" s="16">
        <v>7</v>
      </c>
    </row>
    <row r="59" spans="1:3" ht="80.25" customHeight="1">
      <c r="A59" s="38" t="s">
        <v>461</v>
      </c>
      <c r="B59" s="5" t="s">
        <v>934</v>
      </c>
      <c r="C59" s="4">
        <v>8</v>
      </c>
    </row>
    <row r="60" spans="1:3" ht="80.25" customHeight="1">
      <c r="A60" s="2" t="s">
        <v>484</v>
      </c>
      <c r="B60" s="5" t="s">
        <v>1010</v>
      </c>
      <c r="C60" s="4">
        <v>9</v>
      </c>
    </row>
    <row r="61" spans="1:3" ht="80.25" customHeight="1"/>
    <row r="62" spans="1:3" ht="80.25" customHeight="1"/>
  </sheetData>
  <phoneticPr fontId="27" type="noConversion"/>
  <hyperlinks>
    <hyperlink ref="B1" display="CD-USLY-U5EO"/>
    <hyperlink ref="B3" display="D0-BX1K-G3GG"/>
    <hyperlink ref="B2" display="18-FYNP-Z9IQ"/>
    <hyperlink ref="B15" display="9Y-U387-N2E3"/>
    <hyperlink ref="B23" display="AR-N0UA-EP6H"/>
    <hyperlink ref="B24" display="HI-ULJR-3M1L"/>
    <hyperlink ref="B25" display="ME-CVWN-GVKB"/>
    <hyperlink ref="B4" display="NZ-TTIX-UDLB"/>
    <hyperlink ref="B26" display="UNYLB00402"/>
    <hyperlink ref="B16" display="Y2-0SOS-KG91"/>
    <hyperlink ref="B30" display="UNYLB0022T"/>
    <hyperlink ref="B32" display="UNYLB002S"/>
    <hyperlink ref="B31" display="UNYLN0022T"/>
    <hyperlink ref="B33" display="UNYLN002SS"/>
    <hyperlink ref="B35" display="3X-V6I4-KO2Q"/>
    <hyperlink ref="B36" display="8L-344B-YDSZ"/>
    <hyperlink ref="B41" r:id="rId1" display="https://sellercentral.amazon.com/skucentral?mSku=UNYCB30022T&amp;ref=myi_skuc"/>
    <hyperlink ref="B42" display="UNYR00706"/>
    <hyperlink ref="B44" display="UNYR00708"/>
    <hyperlink ref="B43" display="UNYR0070702"/>
    <hyperlink ref="B45" display="4J-6ACH-N0IF"/>
    <hyperlink ref="B47" display="UI-EHA0-UMFN"/>
    <hyperlink ref="B52" display="DC-GJ8B-VANR"/>
    <hyperlink ref="B53" display="E0-PWA2-RV4X"/>
    <hyperlink ref="B51" display="PJ-ZM5O-M4GL"/>
    <hyperlink ref="B59" display="R7-4J5P-E51A"/>
    <hyperlink ref="B60" display="SU-SF5U-7ZLH"/>
    <hyperlink ref="B57" display="VO-EF0S-QYAQ"/>
    <hyperlink ref="B58" display="G1-01AG-TLIL"/>
    <hyperlink ref="B49" display="ER-R144-1K1Q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工作表1</vt:lpstr>
      <vt:lpstr>bundle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Vincent</cp:lastModifiedBy>
  <cp:lastPrinted>2022-03-14T04:08:58Z</cp:lastPrinted>
  <dcterms:created xsi:type="dcterms:W3CDTF">2018-10-06T03:03:00Z</dcterms:created>
  <dcterms:modified xsi:type="dcterms:W3CDTF">2022-04-28T08:16:45Z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